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72" tabRatio="0" activeTab="0"/>
  </bookViews>
  <sheets>
    <sheet name="TDSheet" sheetId="1" r:id="rId1"/>
  </sheets>
  <definedNames>
    <definedName name="_xlnm._FilterDatabase" localSheetId="0" hidden="1">'TDSheet'!$B$1:$B$351</definedName>
    <definedName name="_xlnm.Print_Area" localSheetId="0">'TDSheet'!$A$1:$T$350</definedName>
  </definedNames>
  <calcPr fullCalcOnLoad="1"/>
</workbook>
</file>

<file path=xl/sharedStrings.xml><?xml version="1.0" encoding="utf-8"?>
<sst xmlns="http://schemas.openxmlformats.org/spreadsheetml/2006/main" count="586" uniqueCount="103">
  <si>
    <t>понедельник</t>
  </si>
  <si>
    <t>Сезон:</t>
  </si>
  <si>
    <t>Неделя:</t>
  </si>
  <si>
    <t>Возраст:</t>
  </si>
  <si>
    <t>№
рец.</t>
  </si>
  <si>
    <t>Прием пищи, наименование блюда</t>
  </si>
  <si>
    <t>Масса порции</t>
  </si>
  <si>
    <t>Пищевые вещества (г)</t>
  </si>
  <si>
    <t>Энерге-
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</si>
  <si>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</si>
  <si>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</si>
  <si>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</si>
  <si>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</si>
  <si>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</si>
  <si>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B1</t>
  </si>
  <si>
    <t>C</t>
  </si>
  <si>
    <t>A</t>
  </si>
  <si>
    <t>E</t>
  </si>
  <si>
    <t>Ca</t>
  </si>
  <si>
    <t>P</t>
  </si>
  <si>
    <t>Mg</t>
  </si>
  <si>
    <t>Fe</t>
  </si>
  <si>
    <t>Завтрак мясной</t>
  </si>
  <si>
    <t>Каша гречневая  рассыпчатая с маслом</t>
  </si>
  <si>
    <t>Итого за Завтрак мясной</t>
  </si>
  <si>
    <t>Завтрак молочный</t>
  </si>
  <si>
    <t>Итого за Завтрак молочный</t>
  </si>
  <si>
    <t>Обед (полноценный рацион питания)</t>
  </si>
  <si>
    <t>Итого за Обед (полноценный рацион питания)</t>
  </si>
  <si>
    <t>Полдник</t>
  </si>
  <si>
    <t>Итого за Полдник</t>
  </si>
  <si>
    <t>вторник</t>
  </si>
  <si>
    <t>среда</t>
  </si>
  <si>
    <t>четверг</t>
  </si>
  <si>
    <t>пятница</t>
  </si>
  <si>
    <t>Хлеб ржано-пшеничный</t>
  </si>
  <si>
    <t xml:space="preserve">Картофельное пюре с маслом сливочным </t>
  </si>
  <si>
    <t>Компот из быстрозамороженных ягод  (компотная смесь)</t>
  </si>
  <si>
    <t xml:space="preserve">Жаркое по- домашнему </t>
  </si>
  <si>
    <t>Кофейный напиток на молоке</t>
  </si>
  <si>
    <t>Хлеб пшеничный</t>
  </si>
  <si>
    <t>Салат из свеклы с маслом растительным</t>
  </si>
  <si>
    <t xml:space="preserve">Рацион: Школа </t>
  </si>
  <si>
    <t>Рацион: Школа</t>
  </si>
  <si>
    <t>7-11 лет</t>
  </si>
  <si>
    <t>В2</t>
  </si>
  <si>
    <t>ZN</t>
  </si>
  <si>
    <t>I</t>
  </si>
  <si>
    <t xml:space="preserve">I </t>
  </si>
  <si>
    <t>Итого в день</t>
  </si>
  <si>
    <t>% от суточной нормы</t>
  </si>
  <si>
    <t>суточная норма</t>
  </si>
  <si>
    <t xml:space="preserve">Холодная закуска: Овощи порционно / Огурец </t>
  </si>
  <si>
    <t>Приложение 8 к СанПиН 2.3/2.4.3590-20</t>
  </si>
  <si>
    <t>ПР</t>
  </si>
  <si>
    <t>Рекомендуется использование продуктов и сырья по ГОСТам на детскую продукцию для питания детей старше 3-х лет и на специализированное сырье для производства продукции детского питания.</t>
  </si>
  <si>
    <t>среднее ЭЦ  завтраки 2 нед</t>
  </si>
  <si>
    <t>среднее ЭЦ обеды 2 нед</t>
  </si>
  <si>
    <t>среднее ЭЦ полдник 2 нед</t>
  </si>
  <si>
    <t>среднее ЭЦ  завтраки 1 нед</t>
  </si>
  <si>
    <t>среднее ЭЦ обеды 1 нед</t>
  </si>
  <si>
    <t>среднее ЭЦ полдник 1 нед</t>
  </si>
  <si>
    <t xml:space="preserve">Салат из  свежих помидоров и огурцов с растительным маслом </t>
  </si>
  <si>
    <t>Сыр твердо-мягкий порционно с м.д.ж. 45%</t>
  </si>
  <si>
    <t>Борщ "Сибирский" с фасолью</t>
  </si>
  <si>
    <t>Макаронные изделия отварные с маслом сливочным</t>
  </si>
  <si>
    <t>Винегрет овощной</t>
  </si>
  <si>
    <t>№ рец. по сборнику</t>
  </si>
  <si>
    <t>ПРИМЕЧАНИЕ  ** могут быть использованы нектары,морсы, напитки сокосодержащие (в т.ч. обогащенные)</t>
  </si>
  <si>
    <t>Салат из белокачанной капусты с морковью</t>
  </si>
  <si>
    <t>Бифштекс рубленый "Детский" (в соответствии с ГОСТ Р 55366-2012)</t>
  </si>
  <si>
    <t xml:space="preserve">Какао с молоком </t>
  </si>
  <si>
    <t>Суп картофельный с горохом на м/б</t>
  </si>
  <si>
    <t>Котлета " Школьная" запеченная (в соответствии с ГОСТ Р 55366-2012)</t>
  </si>
  <si>
    <t>Суп картофельный с макаронными изделиями на м/б</t>
  </si>
  <si>
    <t xml:space="preserve">Компот из смеси сухофруктов     </t>
  </si>
  <si>
    <t>Борщ со свежей капустой на м/б</t>
  </si>
  <si>
    <t xml:space="preserve">Рис отварной с маслом сливочным </t>
  </si>
  <si>
    <t>Рассольник "Ленинградский" на м/б</t>
  </si>
  <si>
    <t>Суп картофельный с рыбными консервами</t>
  </si>
  <si>
    <t>Рагу овощное</t>
  </si>
  <si>
    <t>Суп картофельный (с крупой) на м/б</t>
  </si>
  <si>
    <t>Щи из свежей капусты на м/б</t>
  </si>
  <si>
    <t>Гуляш мясной 90/30</t>
  </si>
  <si>
    <t xml:space="preserve">Фрукт порционно </t>
  </si>
  <si>
    <t>Кондитерское изделие</t>
  </si>
  <si>
    <t>Салат из свежей капусты   "Молодость"</t>
  </si>
  <si>
    <t xml:space="preserve">Каша рисовая молочная с маслом сливочным </t>
  </si>
  <si>
    <t>Каша манная молочная с маслом сливочным</t>
  </si>
  <si>
    <t>Салат "Витаминный"</t>
  </si>
  <si>
    <t>Молоко ''Авишка''</t>
  </si>
  <si>
    <t>Холодная закуска: Овощи порционно / Огурец  соленый</t>
  </si>
  <si>
    <t xml:space="preserve">Рыба, запеченная с овощами </t>
  </si>
  <si>
    <t>Чай с сахаром</t>
  </si>
  <si>
    <t>Печенье</t>
  </si>
  <si>
    <t>Вафли</t>
  </si>
  <si>
    <t xml:space="preserve">Каша геркулесовая с маслом сливочным </t>
  </si>
  <si>
    <t>Пряник</t>
  </si>
  <si>
    <t>Фрукт порционно (Банан)</t>
  </si>
  <si>
    <t>Фрукт порционно (Груша)</t>
  </si>
  <si>
    <t>Фрукт порционно (Яблоко)</t>
  </si>
  <si>
    <t>Тефтели рыбные</t>
  </si>
  <si>
    <t>Перспективное меню и пищевая ценность приготовляемых блюд диетпитание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</si>
</sst>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  <numFmt numFmtId="185" formatCode="0.0000"/>
    <numFmt numFmtId="186" formatCode="0.00000"/>
    <numFmt numFmtId="187" formatCode="0.000000"/>
    <numFmt numFmtId="188" formatCode="0.0000000"/>
    <numFmt numFmtId="189" formatCode="0.0000000000000000"/>
    <numFmt numFmtId="190" formatCode="0.000000000000000"/>
    <numFmt numFmtId="191" formatCode="0.00000000000000"/>
    <numFmt numFmtId="192" formatCode="0.000000000000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"/>
  </numFmts>
  <fonts count="46"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22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left"/>
    </xf>
    <xf numFmtId="0" fontId="3" fillId="33" borderId="0" xfId="0" applyFont="1" applyFill="1" applyAlignment="1">
      <alignment horizontal="left"/>
    </xf>
    <xf numFmtId="1" fontId="0" fillId="33" borderId="0" xfId="0" applyNumberFormat="1" applyFont="1" applyFill="1" applyAlignment="1">
      <alignment horizontal="left"/>
    </xf>
    <xf numFmtId="10" fontId="0" fillId="0" borderId="0" xfId="0" applyNumberFormat="1" applyFont="1" applyAlignment="1">
      <alignment/>
    </xf>
    <xf numFmtId="0" fontId="0" fillId="33" borderId="10" xfId="0" applyNumberFormat="1" applyFont="1" applyFill="1" applyBorder="1" applyAlignment="1">
      <alignment horizontal="center" vertical="center" wrapText="1"/>
    </xf>
    <xf numFmtId="1" fontId="0" fillId="33" borderId="1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left" indent="1"/>
    </xf>
    <xf numFmtId="0" fontId="0" fillId="33" borderId="10" xfId="0" applyNumberFormat="1" applyFont="1" applyFill="1" applyBorder="1" applyAlignment="1">
      <alignment horizontal="right"/>
    </xf>
    <xf numFmtId="0" fontId="3" fillId="33" borderId="10" xfId="0" applyNumberFormat="1" applyFont="1" applyFill="1" applyBorder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/>
    </xf>
    <xf numFmtId="2" fontId="3" fillId="33" borderId="10" xfId="0" applyNumberFormat="1" applyFont="1" applyFill="1" applyBorder="1" applyAlignment="1">
      <alignment horizontal="left" inden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NumberFormat="1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1" xfId="0" applyNumberFormat="1" applyFont="1" applyFill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 horizontal="left" indent="1"/>
    </xf>
    <xf numFmtId="0" fontId="3" fillId="33" borderId="11" xfId="0" applyNumberFormat="1" applyFont="1" applyFill="1" applyBorder="1" applyAlignment="1">
      <alignment horizontal="left"/>
    </xf>
    <xf numFmtId="2" fontId="3" fillId="33" borderId="11" xfId="0" applyNumberFormat="1" applyFont="1" applyFill="1" applyBorder="1" applyAlignment="1">
      <alignment horizontal="left" indent="1"/>
    </xf>
    <xf numFmtId="0" fontId="0" fillId="33" borderId="11" xfId="0" applyFill="1" applyBorder="1" applyAlignment="1">
      <alignment horizontal="left"/>
    </xf>
    <xf numFmtId="0" fontId="0" fillId="33" borderId="12" xfId="0" applyFont="1" applyFill="1" applyBorder="1" applyAlignment="1">
      <alignment/>
    </xf>
    <xf numFmtId="2" fontId="4" fillId="33" borderId="12" xfId="0" applyNumberFormat="1" applyFont="1" applyFill="1" applyBorder="1" applyAlignment="1">
      <alignment horizontal="center" vertical="top"/>
    </xf>
    <xf numFmtId="0" fontId="0" fillId="33" borderId="10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 wrapText="1"/>
    </xf>
    <xf numFmtId="2" fontId="0" fillId="33" borderId="11" xfId="0" applyNumberFormat="1" applyFont="1" applyFill="1" applyBorder="1" applyAlignment="1">
      <alignment horizontal="center" vertical="top" wrapText="1"/>
    </xf>
    <xf numFmtId="2" fontId="0" fillId="33" borderId="0" xfId="0" applyNumberFormat="1" applyFont="1" applyFill="1" applyAlignment="1">
      <alignment/>
    </xf>
    <xf numFmtId="184" fontId="0" fillId="33" borderId="10" xfId="0" applyNumberFormat="1" applyFont="1" applyFill="1" applyBorder="1" applyAlignment="1">
      <alignment horizontal="center" vertical="top"/>
    </xf>
    <xf numFmtId="184" fontId="0" fillId="33" borderId="11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/>
    </xf>
    <xf numFmtId="182" fontId="3" fillId="33" borderId="12" xfId="0" applyNumberFormat="1" applyFont="1" applyFill="1" applyBorder="1" applyAlignment="1">
      <alignment horizontal="center" vertical="top"/>
    </xf>
    <xf numFmtId="2" fontId="3" fillId="33" borderId="12" xfId="0" applyNumberFormat="1" applyFont="1" applyFill="1" applyBorder="1" applyAlignment="1">
      <alignment horizontal="center" vertical="top"/>
    </xf>
    <xf numFmtId="184" fontId="3" fillId="33" borderId="12" xfId="0" applyNumberFormat="1" applyFont="1" applyFill="1" applyBorder="1" applyAlignment="1">
      <alignment horizontal="center" vertical="top"/>
    </xf>
    <xf numFmtId="2" fontId="3" fillId="33" borderId="11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 vertical="top"/>
    </xf>
    <xf numFmtId="0" fontId="3" fillId="33" borderId="12" xfId="0" applyNumberFormat="1" applyFont="1" applyFill="1" applyBorder="1" applyAlignment="1">
      <alignment horizontal="center" vertical="top"/>
    </xf>
    <xf numFmtId="193" fontId="3" fillId="33" borderId="12" xfId="0" applyNumberFormat="1" applyFont="1" applyFill="1" applyBorder="1" applyAlignment="1">
      <alignment horizontal="center" vertical="top"/>
    </xf>
    <xf numFmtId="9" fontId="3" fillId="33" borderId="12" xfId="0" applyNumberFormat="1" applyFont="1" applyFill="1" applyBorder="1" applyAlignment="1">
      <alignment horizontal="center" vertical="top"/>
    </xf>
    <xf numFmtId="9" fontId="3" fillId="33" borderId="10" xfId="0" applyNumberFormat="1" applyFont="1" applyFill="1" applyBorder="1" applyAlignment="1">
      <alignment horizontal="center" vertical="top"/>
    </xf>
    <xf numFmtId="9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1" fontId="3" fillId="33" borderId="12" xfId="0" applyNumberFormat="1" applyFont="1" applyFill="1" applyBorder="1" applyAlignment="1">
      <alignment horizontal="center" vertical="top"/>
    </xf>
    <xf numFmtId="2" fontId="3" fillId="33" borderId="13" xfId="0" applyNumberFormat="1" applyFont="1" applyFill="1" applyBorder="1" applyAlignment="1">
      <alignment horizontal="center" vertical="top"/>
    </xf>
    <xf numFmtId="193" fontId="3" fillId="33" borderId="10" xfId="0" applyNumberFormat="1" applyFont="1" applyFill="1" applyBorder="1" applyAlignment="1">
      <alignment horizontal="center" vertical="top"/>
    </xf>
    <xf numFmtId="193" fontId="3" fillId="33" borderId="11" xfId="0" applyNumberFormat="1" applyFont="1" applyFill="1" applyBorder="1" applyAlignment="1">
      <alignment horizontal="center" vertical="top"/>
    </xf>
    <xf numFmtId="182" fontId="0" fillId="0" borderId="0" xfId="0" applyNumberFormat="1" applyFont="1" applyFill="1" applyBorder="1" applyAlignment="1">
      <alignment horizontal="center" vertical="top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left" vertical="center"/>
    </xf>
    <xf numFmtId="0" fontId="1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182" fontId="3" fillId="33" borderId="13" xfId="0" applyNumberFormat="1" applyFont="1" applyFill="1" applyBorder="1" applyAlignment="1">
      <alignment horizontal="center" vertical="top"/>
    </xf>
    <xf numFmtId="0" fontId="3" fillId="33" borderId="12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2" fontId="3" fillId="33" borderId="14" xfId="0" applyNumberFormat="1" applyFont="1" applyFill="1" applyBorder="1" applyAlignment="1">
      <alignment/>
    </xf>
    <xf numFmtId="2" fontId="3" fillId="33" borderId="15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/>
    </xf>
    <xf numFmtId="0" fontId="0" fillId="33" borderId="12" xfId="0" applyFont="1" applyFill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0" fontId="3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top" wrapText="1"/>
    </xf>
    <xf numFmtId="184" fontId="0" fillId="33" borderId="12" xfId="0" applyNumberFormat="1" applyFont="1" applyFill="1" applyBorder="1" applyAlignment="1">
      <alignment horizontal="center" vertical="top" wrapText="1"/>
    </xf>
    <xf numFmtId="1" fontId="0" fillId="33" borderId="12" xfId="0" applyNumberFormat="1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33" borderId="0" xfId="0" applyFont="1" applyFill="1" applyAlignment="1">
      <alignment vertical="center"/>
    </xf>
    <xf numFmtId="0" fontId="5" fillId="33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right" vertical="center" indent="1"/>
    </xf>
    <xf numFmtId="2" fontId="0" fillId="33" borderId="12" xfId="0" applyNumberFormat="1" applyFont="1" applyFill="1" applyBorder="1" applyAlignment="1">
      <alignment horizontal="center" vertical="center" wrapText="1"/>
    </xf>
    <xf numFmtId="2" fontId="0" fillId="33" borderId="12" xfId="0" applyNumberFormat="1" applyFont="1" applyFill="1" applyBorder="1" applyAlignment="1">
      <alignment horizontal="center"/>
    </xf>
    <xf numFmtId="2" fontId="0" fillId="33" borderId="0" xfId="0" applyNumberFormat="1" applyFont="1" applyFill="1" applyAlignment="1">
      <alignment horizontal="left"/>
    </xf>
    <xf numFmtId="2" fontId="0" fillId="33" borderId="0" xfId="0" applyNumberFormat="1" applyFill="1" applyAlignment="1">
      <alignment/>
    </xf>
    <xf numFmtId="2" fontId="5" fillId="33" borderId="0" xfId="0" applyNumberFormat="1" applyFont="1" applyFill="1" applyAlignment="1">
      <alignment vertical="center"/>
    </xf>
    <xf numFmtId="2" fontId="0" fillId="33" borderId="0" xfId="0" applyNumberFormat="1" applyFill="1" applyAlignment="1">
      <alignment horizontal="left"/>
    </xf>
    <xf numFmtId="184" fontId="0" fillId="33" borderId="12" xfId="0" applyNumberFormat="1" applyFont="1" applyFill="1" applyBorder="1" applyAlignment="1">
      <alignment horizontal="right" vertical="center" indent="1"/>
    </xf>
    <xf numFmtId="1" fontId="3" fillId="33" borderId="16" xfId="0" applyNumberFormat="1" applyFont="1" applyFill="1" applyBorder="1" applyAlignment="1">
      <alignment/>
    </xf>
    <xf numFmtId="0" fontId="3" fillId="33" borderId="0" xfId="0" applyNumberFormat="1" applyFont="1" applyFill="1" applyAlignment="1">
      <alignment horizontal="right"/>
    </xf>
    <xf numFmtId="0" fontId="0" fillId="33" borderId="0" xfId="0" applyNumberFormat="1" applyFont="1" applyFill="1" applyAlignment="1">
      <alignment horizontal="right"/>
    </xf>
    <xf numFmtId="0" fontId="0" fillId="33" borderId="11" xfId="0" applyNumberFormat="1" applyFont="1" applyFill="1" applyBorder="1" applyAlignment="1">
      <alignment horizontal="center" wrapText="1"/>
    </xf>
    <xf numFmtId="0" fontId="3" fillId="33" borderId="0" xfId="0" applyNumberFormat="1" applyFont="1" applyFill="1" applyAlignment="1">
      <alignment horizontal="right"/>
    </xf>
    <xf numFmtId="3" fontId="0" fillId="33" borderId="12" xfId="0" applyNumberFormat="1" applyFont="1" applyFill="1" applyBorder="1" applyAlignment="1">
      <alignment horizontal="center" vertical="center"/>
    </xf>
    <xf numFmtId="10" fontId="3" fillId="33" borderId="12" xfId="63" applyNumberFormat="1" applyFont="1" applyFill="1" applyBorder="1">
      <alignment/>
      <protection/>
    </xf>
    <xf numFmtId="193" fontId="3" fillId="33" borderId="12" xfId="63" applyNumberFormat="1" applyFont="1" applyFill="1" applyBorder="1">
      <alignment/>
      <protection/>
    </xf>
    <xf numFmtId="193" fontId="3" fillId="33" borderId="13" xfId="63" applyNumberFormat="1" applyFont="1" applyFill="1" applyBorder="1">
      <alignment/>
      <protection/>
    </xf>
    <xf numFmtId="193" fontId="3" fillId="33" borderId="0" xfId="63" applyNumberFormat="1" applyFont="1" applyFill="1">
      <alignment/>
      <protection/>
    </xf>
    <xf numFmtId="0" fontId="3" fillId="33" borderId="0" xfId="0" applyFont="1" applyFill="1" applyBorder="1" applyAlignment="1">
      <alignment horizontal="left"/>
    </xf>
    <xf numFmtId="0" fontId="0" fillId="34" borderId="0" xfId="0" applyFont="1" applyFill="1" applyAlignment="1">
      <alignment/>
    </xf>
    <xf numFmtId="2" fontId="0" fillId="35" borderId="17" xfId="0" applyNumberFormat="1" applyFont="1" applyFill="1" applyBorder="1" applyAlignment="1">
      <alignment horizontal="center" vertical="top"/>
    </xf>
    <xf numFmtId="2" fontId="3" fillId="33" borderId="16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33" borderId="0" xfId="0" applyFont="1" applyFill="1" applyAlignment="1">
      <alignment/>
    </xf>
    <xf numFmtId="2" fontId="0" fillId="33" borderId="0" xfId="0" applyNumberFormat="1" applyFont="1" applyFill="1" applyAlignment="1">
      <alignment/>
    </xf>
    <xf numFmtId="2" fontId="3" fillId="33" borderId="11" xfId="0" applyNumberFormat="1" applyFont="1" applyFill="1" applyBorder="1" applyAlignment="1">
      <alignment horizontal="center" vertical="top"/>
    </xf>
    <xf numFmtId="182" fontId="3" fillId="33" borderId="11" xfId="0" applyNumberFormat="1" applyFont="1" applyFill="1" applyBorder="1" applyAlignment="1">
      <alignment horizontal="center" vertical="top"/>
    </xf>
    <xf numFmtId="182" fontId="3" fillId="33" borderId="10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top"/>
    </xf>
    <xf numFmtId="182" fontId="0" fillId="33" borderId="12" xfId="0" applyNumberFormat="1" applyFont="1" applyFill="1" applyBorder="1" applyAlignment="1">
      <alignment horizontal="center" vertical="top"/>
    </xf>
    <xf numFmtId="1" fontId="0" fillId="33" borderId="12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184" fontId="0" fillId="33" borderId="12" xfId="0" applyNumberFormat="1" applyFont="1" applyFill="1" applyBorder="1" applyAlignment="1">
      <alignment horizontal="center" vertical="top"/>
    </xf>
    <xf numFmtId="2" fontId="0" fillId="33" borderId="10" xfId="0" applyNumberFormat="1" applyFont="1" applyFill="1" applyBorder="1" applyAlignment="1">
      <alignment horizontal="center" vertical="top"/>
    </xf>
    <xf numFmtId="2" fontId="0" fillId="33" borderId="11" xfId="0" applyNumberFormat="1" applyFont="1" applyFill="1" applyBorder="1" applyAlignment="1">
      <alignment horizontal="center" vertical="top"/>
    </xf>
    <xf numFmtId="185" fontId="0" fillId="33" borderId="12" xfId="0" applyNumberFormat="1" applyFont="1" applyFill="1" applyBorder="1" applyAlignment="1">
      <alignment horizontal="center" vertical="top"/>
    </xf>
    <xf numFmtId="0" fontId="0" fillId="33" borderId="12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 horizontal="center" vertical="top"/>
    </xf>
    <xf numFmtId="10" fontId="3" fillId="33" borderId="0" xfId="63" applyNumberFormat="1" applyFont="1" applyFill="1">
      <alignment/>
      <protection/>
    </xf>
    <xf numFmtId="2" fontId="0" fillId="33" borderId="12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184" fontId="3" fillId="33" borderId="12" xfId="0" applyNumberFormat="1" applyFont="1" applyFill="1" applyBorder="1" applyAlignment="1">
      <alignment/>
    </xf>
    <xf numFmtId="1" fontId="0" fillId="35" borderId="17" xfId="0" applyNumberFormat="1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 wrapText="1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0" fontId="3" fillId="33" borderId="0" xfId="0" applyNumberFormat="1" applyFont="1" applyFill="1" applyAlignment="1">
      <alignment horizontal="right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3" borderId="19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left"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center" vertical="center" wrapText="1"/>
    </xf>
    <xf numFmtId="0" fontId="0" fillId="33" borderId="0" xfId="0" applyNumberFormat="1" applyFont="1" applyFill="1" applyAlignment="1">
      <alignment horizontal="right"/>
    </xf>
    <xf numFmtId="2" fontId="3" fillId="33" borderId="16" xfId="0" applyNumberFormat="1" applyFont="1" applyFill="1" applyBorder="1" applyAlignment="1">
      <alignment horizontal="left"/>
    </xf>
    <xf numFmtId="10" fontId="3" fillId="33" borderId="14" xfId="0" applyNumberFormat="1" applyFont="1" applyFill="1" applyBorder="1" applyAlignment="1">
      <alignment/>
    </xf>
    <xf numFmtId="10" fontId="3" fillId="33" borderId="15" xfId="0" applyNumberFormat="1" applyFont="1" applyFill="1" applyBorder="1" applyAlignment="1">
      <alignment/>
    </xf>
    <xf numFmtId="0" fontId="3" fillId="33" borderId="16" xfId="0" applyNumberFormat="1" applyFont="1" applyFill="1" applyBorder="1" applyAlignment="1">
      <alignment/>
    </xf>
    <xf numFmtId="1" fontId="0" fillId="35" borderId="17" xfId="53" applyNumberFormat="1" applyFont="1" applyFill="1" applyBorder="1" applyAlignment="1">
      <alignment horizontal="center" vertical="center"/>
      <protection/>
    </xf>
    <xf numFmtId="0" fontId="0" fillId="35" borderId="17" xfId="53" applyNumberFormat="1" applyFont="1" applyFill="1" applyBorder="1" applyAlignment="1">
      <alignment horizontal="center" vertical="top"/>
      <protection/>
    </xf>
    <xf numFmtId="2" fontId="0" fillId="35" borderId="17" xfId="53" applyNumberFormat="1" applyFont="1" applyFill="1" applyBorder="1" applyAlignment="1">
      <alignment horizontal="center" vertical="top"/>
      <protection/>
    </xf>
    <xf numFmtId="0" fontId="0" fillId="35" borderId="17" xfId="0" applyNumberFormat="1" applyFont="1" applyFill="1" applyBorder="1" applyAlignment="1">
      <alignment horizontal="center" vertical="center"/>
    </xf>
    <xf numFmtId="1" fontId="0" fillId="35" borderId="17" xfId="53" applyNumberFormat="1" applyFont="1" applyFill="1" applyBorder="1" applyAlignment="1">
      <alignment horizontal="center" vertical="center"/>
      <protection/>
    </xf>
    <xf numFmtId="0" fontId="0" fillId="35" borderId="17" xfId="53" applyNumberFormat="1" applyFont="1" applyFill="1" applyBorder="1" applyAlignment="1">
      <alignment horizontal="center" vertical="top"/>
      <protection/>
    </xf>
    <xf numFmtId="2" fontId="3" fillId="35" borderId="20" xfId="0" applyNumberFormat="1" applyFont="1" applyFill="1" applyBorder="1" applyAlignment="1">
      <alignment/>
    </xf>
    <xf numFmtId="2" fontId="0" fillId="35" borderId="17" xfId="53" applyNumberFormat="1" applyFont="1" applyFill="1" applyBorder="1" applyAlignment="1">
      <alignment horizontal="center" vertical="center"/>
      <protection/>
    </xf>
    <xf numFmtId="1" fontId="0" fillId="35" borderId="17" xfId="53" applyNumberFormat="1" applyFont="1" applyFill="1" applyBorder="1" applyAlignment="1">
      <alignment horizontal="center" vertical="top"/>
      <protection/>
    </xf>
    <xf numFmtId="1" fontId="0" fillId="35" borderId="17" xfId="0" applyNumberFormat="1" applyFont="1" applyFill="1" applyBorder="1" applyAlignment="1">
      <alignment horizontal="center" vertical="center"/>
    </xf>
    <xf numFmtId="184" fontId="0" fillId="35" borderId="17" xfId="0" applyNumberFormat="1" applyFont="1" applyFill="1" applyBorder="1" applyAlignment="1">
      <alignment horizontal="center" vertical="top"/>
    </xf>
    <xf numFmtId="0" fontId="0" fillId="35" borderId="17" xfId="0" applyNumberFormat="1" applyFont="1" applyFill="1" applyBorder="1" applyAlignment="1">
      <alignment horizontal="center" vertical="top"/>
    </xf>
    <xf numFmtId="182" fontId="0" fillId="35" borderId="17" xfId="0" applyNumberFormat="1" applyFont="1" applyFill="1" applyBorder="1" applyAlignment="1">
      <alignment horizontal="center" vertical="top"/>
    </xf>
    <xf numFmtId="0" fontId="0" fillId="35" borderId="17" xfId="53" applyNumberFormat="1" applyFont="1" applyFill="1" applyBorder="1" applyAlignment="1">
      <alignment horizontal="center" vertical="center"/>
      <protection/>
    </xf>
    <xf numFmtId="1" fontId="0" fillId="35" borderId="17" xfId="53" applyNumberFormat="1" applyFont="1" applyFill="1" applyBorder="1" applyAlignment="1">
      <alignment horizontal="center" vertical="top"/>
      <protection/>
    </xf>
    <xf numFmtId="2" fontId="0" fillId="35" borderId="17" xfId="53" applyNumberFormat="1" applyFont="1" applyFill="1" applyBorder="1" applyAlignment="1">
      <alignment horizontal="center" vertical="top"/>
      <protection/>
    </xf>
    <xf numFmtId="1" fontId="0" fillId="33" borderId="12" xfId="53" applyNumberFormat="1" applyFont="1" applyFill="1" applyBorder="1" applyAlignment="1">
      <alignment horizontal="center" vertical="center"/>
      <protection/>
    </xf>
    <xf numFmtId="2" fontId="0" fillId="33" borderId="12" xfId="53" applyNumberFormat="1" applyFont="1" applyFill="1" applyBorder="1" applyAlignment="1">
      <alignment horizontal="center" vertical="center"/>
      <protection/>
    </xf>
    <xf numFmtId="0" fontId="0" fillId="33" borderId="12" xfId="53" applyNumberFormat="1" applyFont="1" applyFill="1" applyBorder="1" applyAlignment="1">
      <alignment horizontal="center" vertical="center"/>
      <protection/>
    </xf>
    <xf numFmtId="182" fontId="0" fillId="33" borderId="12" xfId="53" applyNumberFormat="1" applyFont="1" applyFill="1" applyBorder="1" applyAlignment="1">
      <alignment horizontal="center" vertical="center"/>
      <protection/>
    </xf>
    <xf numFmtId="184" fontId="0" fillId="33" borderId="12" xfId="53" applyNumberFormat="1" applyFont="1" applyFill="1" applyBorder="1" applyAlignment="1">
      <alignment horizontal="center" vertical="center"/>
      <protection/>
    </xf>
    <xf numFmtId="0" fontId="0" fillId="35" borderId="17" xfId="53" applyNumberFormat="1" applyFont="1" applyFill="1" applyBorder="1" applyAlignment="1">
      <alignment horizontal="center" vertical="center"/>
      <protection/>
    </xf>
    <xf numFmtId="1" fontId="0" fillId="33" borderId="17" xfId="53" applyNumberFormat="1" applyFont="1" applyFill="1" applyBorder="1" applyAlignment="1">
      <alignment horizontal="center" vertical="center"/>
      <protection/>
    </xf>
    <xf numFmtId="1" fontId="0" fillId="33" borderId="17" xfId="53" applyNumberFormat="1" applyFont="1" applyFill="1" applyBorder="1" applyAlignment="1">
      <alignment horizontal="center" vertical="top"/>
      <protection/>
    </xf>
    <xf numFmtId="2" fontId="0" fillId="33" borderId="17" xfId="53" applyNumberFormat="1" applyFont="1" applyFill="1" applyBorder="1" applyAlignment="1">
      <alignment horizontal="center" vertical="top"/>
      <protection/>
    </xf>
    <xf numFmtId="3" fontId="0" fillId="35" borderId="17" xfId="0" applyNumberFormat="1" applyFont="1" applyFill="1" applyBorder="1" applyAlignment="1">
      <alignment horizontal="center" vertical="center"/>
    </xf>
    <xf numFmtId="0" fontId="0" fillId="33" borderId="12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 wrapText="1"/>
    </xf>
    <xf numFmtId="0" fontId="0" fillId="33" borderId="16" xfId="0" applyNumberFormat="1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 indent="1"/>
    </xf>
    <xf numFmtId="0" fontId="6" fillId="33" borderId="0" xfId="0" applyFont="1" applyFill="1" applyAlignment="1">
      <alignment horizontal="left" vertical="center" wrapText="1"/>
    </xf>
    <xf numFmtId="0" fontId="0" fillId="33" borderId="15" xfId="53" applyNumberFormat="1" applyFont="1" applyFill="1" applyBorder="1" applyAlignment="1">
      <alignment horizontal="left" vertical="center" wrapText="1"/>
      <protection/>
    </xf>
    <xf numFmtId="0" fontId="0" fillId="33" borderId="16" xfId="53" applyNumberFormat="1" applyFont="1" applyFill="1" applyBorder="1" applyAlignment="1">
      <alignment horizontal="left" vertical="center" wrapText="1"/>
      <protection/>
    </xf>
    <xf numFmtId="10" fontId="3" fillId="33" borderId="14" xfId="0" applyNumberFormat="1" applyFont="1" applyFill="1" applyBorder="1" applyAlignment="1">
      <alignment horizontal="left"/>
    </xf>
    <xf numFmtId="10" fontId="3" fillId="33" borderId="15" xfId="0" applyNumberFormat="1" applyFont="1" applyFill="1" applyBorder="1" applyAlignment="1">
      <alignment horizontal="left"/>
    </xf>
    <xf numFmtId="10" fontId="3" fillId="33" borderId="16" xfId="0" applyNumberFormat="1" applyFont="1" applyFill="1" applyBorder="1" applyAlignment="1">
      <alignment horizontal="left"/>
    </xf>
    <xf numFmtId="1" fontId="0" fillId="33" borderId="14" xfId="0" applyNumberFormat="1" applyFont="1" applyFill="1" applyBorder="1" applyAlignment="1">
      <alignment horizontal="center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0" fillId="35" borderId="21" xfId="53" applyNumberFormat="1" applyFont="1" applyFill="1" applyBorder="1" applyAlignment="1">
      <alignment horizontal="left" vertical="center" wrapText="1"/>
      <protection/>
    </xf>
    <xf numFmtId="0" fontId="0" fillId="35" borderId="20" xfId="53" applyNumberFormat="1" applyFont="1" applyFill="1" applyBorder="1" applyAlignment="1">
      <alignment horizontal="left" vertical="center" wrapText="1"/>
      <protection/>
    </xf>
    <xf numFmtId="0" fontId="0" fillId="33" borderId="14" xfId="0" applyNumberFormat="1" applyFont="1" applyFill="1" applyBorder="1" applyAlignment="1">
      <alignment horizontal="center" vertical="center" wrapText="1"/>
    </xf>
    <xf numFmtId="0" fontId="0" fillId="33" borderId="15" xfId="0" applyNumberFormat="1" applyFont="1" applyFill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center" vertical="center" wrapText="1"/>
    </xf>
    <xf numFmtId="0" fontId="3" fillId="33" borderId="22" xfId="0" applyNumberFormat="1" applyFont="1" applyFill="1" applyBorder="1" applyAlignment="1">
      <alignment horizontal="right"/>
    </xf>
    <xf numFmtId="0" fontId="0" fillId="35" borderId="17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8" xfId="0" applyNumberFormat="1" applyFont="1" applyFill="1" applyBorder="1" applyAlignment="1">
      <alignment horizontal="center" vertical="center" wrapText="1"/>
    </xf>
    <xf numFmtId="0" fontId="0" fillId="35" borderId="17" xfId="53" applyNumberFormat="1" applyFont="1" applyFill="1" applyBorder="1" applyAlignment="1">
      <alignment horizontal="left" vertical="center" wrapText="1"/>
      <protection/>
    </xf>
    <xf numFmtId="0" fontId="3" fillId="33" borderId="0" xfId="0" applyNumberFormat="1" applyFont="1" applyFill="1" applyAlignment="1">
      <alignment horizontal="right"/>
    </xf>
    <xf numFmtId="0" fontId="0" fillId="33" borderId="11" xfId="0" applyNumberFormat="1" applyFont="1" applyFill="1" applyBorder="1" applyAlignment="1">
      <alignment horizontal="center" wrapText="1"/>
    </xf>
    <xf numFmtId="0" fontId="0" fillId="33" borderId="0" xfId="0" applyNumberFormat="1" applyFont="1" applyFill="1" applyAlignment="1">
      <alignment horizontal="right"/>
    </xf>
    <xf numFmtId="0" fontId="2" fillId="33" borderId="0" xfId="0" applyNumberFormat="1" applyFont="1" applyFill="1" applyAlignment="1">
      <alignment horizontal="center"/>
    </xf>
    <xf numFmtId="0" fontId="0" fillId="33" borderId="0" xfId="0" applyNumberFormat="1" applyFont="1" applyFill="1" applyAlignment="1">
      <alignment horizontal="center"/>
    </xf>
    <xf numFmtId="0" fontId="0" fillId="33" borderId="19" xfId="0" applyNumberFormat="1" applyFont="1" applyFill="1" applyBorder="1" applyAlignment="1">
      <alignment horizontal="center" vertical="center" wrapText="1"/>
    </xf>
    <xf numFmtId="0" fontId="0" fillId="33" borderId="23" xfId="0" applyNumberFormat="1" applyFont="1" applyFill="1" applyBorder="1" applyAlignment="1">
      <alignment horizontal="center" vertical="center" wrapText="1"/>
    </xf>
    <xf numFmtId="0" fontId="0" fillId="33" borderId="24" xfId="0" applyNumberFormat="1" applyFont="1" applyFill="1" applyBorder="1" applyAlignment="1">
      <alignment horizontal="center" vertical="center" wrapText="1"/>
    </xf>
    <xf numFmtId="0" fontId="0" fillId="33" borderId="25" xfId="0" applyNumberFormat="1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center" wrapText="1"/>
    </xf>
    <xf numFmtId="0" fontId="3" fillId="33" borderId="11" xfId="0" applyNumberFormat="1" applyFont="1" applyFill="1" applyBorder="1" applyAlignment="1">
      <alignment horizontal="center" wrapText="1"/>
    </xf>
    <xf numFmtId="0" fontId="3" fillId="33" borderId="18" xfId="0" applyNumberFormat="1" applyFont="1" applyFill="1" applyBorder="1" applyAlignment="1">
      <alignment horizontal="center" wrapText="1"/>
    </xf>
    <xf numFmtId="0" fontId="0" fillId="33" borderId="22" xfId="0" applyNumberFormat="1" applyFont="1" applyFill="1" applyBorder="1" applyAlignment="1">
      <alignment horizontal="center"/>
    </xf>
    <xf numFmtId="0" fontId="3" fillId="33" borderId="14" xfId="0" applyFont="1" applyFill="1" applyBorder="1" applyAlignment="1">
      <alignment horizontal="left" indent="1"/>
    </xf>
    <xf numFmtId="0" fontId="3" fillId="33" borderId="15" xfId="0" applyFont="1" applyFill="1" applyBorder="1" applyAlignment="1">
      <alignment horizontal="left" indent="1"/>
    </xf>
    <xf numFmtId="0" fontId="3" fillId="33" borderId="16" xfId="0" applyFont="1" applyFill="1" applyBorder="1" applyAlignment="1">
      <alignment horizontal="left" indent="1"/>
    </xf>
    <xf numFmtId="0" fontId="0" fillId="33" borderId="18" xfId="0" applyNumberFormat="1" applyFont="1" applyFill="1" applyBorder="1" applyAlignment="1">
      <alignment horizontal="center" wrapText="1"/>
    </xf>
    <xf numFmtId="2" fontId="0" fillId="33" borderId="14" xfId="0" applyNumberFormat="1" applyFont="1" applyFill="1" applyBorder="1" applyAlignment="1">
      <alignment horizontal="left" vertical="center" wrapText="1"/>
    </xf>
    <xf numFmtId="2" fontId="0" fillId="33" borderId="16" xfId="0" applyNumberFormat="1" applyFont="1" applyFill="1" applyBorder="1" applyAlignment="1">
      <alignment horizontal="left" vertical="center" wrapText="1"/>
    </xf>
    <xf numFmtId="0" fontId="0" fillId="35" borderId="17" xfId="53" applyNumberFormat="1" applyFont="1" applyFill="1" applyBorder="1" applyAlignment="1">
      <alignment horizontal="left" vertical="center" wrapText="1"/>
      <protection/>
    </xf>
    <xf numFmtId="2" fontId="3" fillId="33" borderId="14" xfId="0" applyNumberFormat="1" applyFont="1" applyFill="1" applyBorder="1" applyAlignment="1">
      <alignment horizontal="left" indent="1"/>
    </xf>
    <xf numFmtId="2" fontId="3" fillId="33" borderId="15" xfId="0" applyNumberFormat="1" applyFont="1" applyFill="1" applyBorder="1" applyAlignment="1">
      <alignment horizontal="left" indent="1"/>
    </xf>
    <xf numFmtId="2" fontId="3" fillId="33" borderId="16" xfId="0" applyNumberFormat="1" applyFont="1" applyFill="1" applyBorder="1" applyAlignment="1">
      <alignment horizontal="left" indent="1"/>
    </xf>
    <xf numFmtId="0" fontId="0" fillId="33" borderId="12" xfId="0" applyNumberFormat="1" applyFont="1" applyFill="1" applyBorder="1" applyAlignment="1">
      <alignment horizontal="center" vertical="center" wrapText="1"/>
    </xf>
    <xf numFmtId="2" fontId="0" fillId="35" borderId="17" xfId="53" applyNumberFormat="1" applyFont="1" applyFill="1" applyBorder="1" applyAlignment="1">
      <alignment horizontal="left" vertical="center" wrapText="1"/>
      <protection/>
    </xf>
    <xf numFmtId="1" fontId="0" fillId="33" borderId="12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7" xfId="53" applyNumberFormat="1" applyFont="1" applyFill="1" applyBorder="1" applyAlignment="1">
      <alignment horizontal="left" vertical="center" wrapText="1"/>
      <protection/>
    </xf>
    <xf numFmtId="2" fontId="0" fillId="33" borderId="12" xfId="0" applyNumberFormat="1" applyFont="1" applyFill="1" applyBorder="1" applyAlignment="1">
      <alignment horizontal="center" vertical="top" wrapText="1"/>
    </xf>
  </cellXfs>
  <cellStyles count="5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Y351"/>
  <sheetViews>
    <sheetView tabSelected="1" view="pageBreakPreview" zoomScale="80" zoomScaleNormal="80" zoomScaleSheetLayoutView="80" workbookViewId="0" topLeftCell="A1">
      <selection activeCell="R16" sqref="R16"/>
    </sheetView>
  </sheetViews>
  <sheetFormatPr defaultColWidth="9.33203125" defaultRowHeight="11.25"/>
  <cols>
    <col min="1" max="1" width="9.5" style="56" customWidth="1"/>
    <col min="2" max="2" width="16.33203125" style="56" customWidth="1"/>
    <col min="3" max="3" width="25.16015625" style="56" customWidth="1"/>
    <col min="4" max="4" width="8" style="5" customWidth="1"/>
    <col min="5" max="5" width="9.66015625" style="5" customWidth="1"/>
    <col min="6" max="6" width="9.83203125" style="87" customWidth="1"/>
    <col min="7" max="7" width="9.66015625" style="5" customWidth="1"/>
    <col min="8" max="8" width="8.5" style="5" customWidth="1"/>
    <col min="9" max="9" width="10" style="5" customWidth="1"/>
    <col min="10" max="10" width="9" style="5" customWidth="1"/>
    <col min="11" max="11" width="9.83203125" style="5" customWidth="1"/>
    <col min="12" max="12" width="8.83203125" style="5" customWidth="1"/>
    <col min="13" max="13" width="10.33203125" style="5" customWidth="1"/>
    <col min="14" max="14" width="9.5" style="5" customWidth="1"/>
    <col min="15" max="15" width="9.33203125" style="5" customWidth="1"/>
    <col min="16" max="17" width="9.16015625" style="5" customWidth="1"/>
    <col min="18" max="18" width="9" style="5" customWidth="1"/>
    <col min="19" max="19" width="9.5" style="5" customWidth="1"/>
    <col min="20" max="20" width="8.66015625" style="5" customWidth="1"/>
    <col min="21" max="21" width="9.16015625" style="18" customWidth="1"/>
    <col min="22" max="23" width="9.16015625" style="27" customWidth="1"/>
    <col min="24" max="24" width="11.66015625" style="27" customWidth="1"/>
  </cols>
  <sheetData>
    <row r="1" spans="1:24" s="1" customFormat="1" ht="11.25" customHeight="1">
      <c r="A1" s="57"/>
      <c r="B1" s="54"/>
      <c r="C1" s="54"/>
      <c r="D1" s="68"/>
      <c r="E1" s="68"/>
      <c r="F1" s="34"/>
      <c r="G1" s="68"/>
      <c r="H1" s="68"/>
      <c r="I1" s="68"/>
      <c r="J1" s="68"/>
      <c r="K1" s="68"/>
      <c r="L1" s="2"/>
      <c r="M1" s="195" t="s">
        <v>53</v>
      </c>
      <c r="N1" s="195"/>
      <c r="O1" s="195"/>
      <c r="P1" s="195"/>
      <c r="Q1" s="195"/>
      <c r="R1" s="195"/>
      <c r="S1" s="195"/>
      <c r="T1" s="195"/>
      <c r="U1" s="202"/>
      <c r="V1" s="194"/>
      <c r="W1" s="92"/>
      <c r="X1" s="194"/>
    </row>
    <row r="2" spans="1:24" s="1" customFormat="1" ht="15.75" customHeight="1">
      <c r="A2" s="196" t="s">
        <v>102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203"/>
      <c r="V2" s="194"/>
      <c r="W2" s="92"/>
      <c r="X2" s="194"/>
    </row>
    <row r="3" spans="1:24" s="1" customFormat="1" ht="11.25" customHeight="1">
      <c r="A3" s="58" t="s">
        <v>42</v>
      </c>
      <c r="B3" s="54"/>
      <c r="C3" s="54"/>
      <c r="D3" s="2"/>
      <c r="E3" s="2"/>
      <c r="F3" s="105"/>
      <c r="G3" s="197" t="s">
        <v>0</v>
      </c>
      <c r="H3" s="197"/>
      <c r="I3" s="197"/>
      <c r="J3" s="104"/>
      <c r="K3" s="104"/>
      <c r="L3" s="193" t="s">
        <v>1</v>
      </c>
      <c r="M3" s="193"/>
      <c r="N3" s="189"/>
      <c r="O3" s="189"/>
      <c r="P3" s="189"/>
      <c r="Q3" s="189"/>
      <c r="R3" s="104"/>
      <c r="S3" s="104"/>
      <c r="T3" s="104"/>
      <c r="U3" s="203"/>
      <c r="V3" s="194"/>
      <c r="W3" s="92"/>
      <c r="X3" s="194"/>
    </row>
    <row r="4" spans="1:24" s="1" customFormat="1" ht="11.25" customHeight="1">
      <c r="A4" s="54"/>
      <c r="B4" s="54"/>
      <c r="C4" s="54"/>
      <c r="D4" s="193" t="s">
        <v>2</v>
      </c>
      <c r="E4" s="193"/>
      <c r="F4" s="193"/>
      <c r="G4" s="7">
        <v>1</v>
      </c>
      <c r="H4" s="104"/>
      <c r="I4" s="2"/>
      <c r="J4" s="2"/>
      <c r="K4" s="2"/>
      <c r="L4" s="193" t="s">
        <v>3</v>
      </c>
      <c r="M4" s="193"/>
      <c r="N4" s="197" t="s">
        <v>44</v>
      </c>
      <c r="O4" s="197"/>
      <c r="P4" s="197"/>
      <c r="Q4" s="197"/>
      <c r="R4" s="197"/>
      <c r="S4" s="197"/>
      <c r="T4" s="197"/>
      <c r="U4" s="204"/>
      <c r="V4" s="209"/>
      <c r="W4" s="92"/>
      <c r="X4" s="194"/>
    </row>
    <row r="5" spans="1:24" s="1" customFormat="1" ht="21.75" customHeight="1">
      <c r="A5" s="190" t="s">
        <v>4</v>
      </c>
      <c r="B5" s="198" t="s">
        <v>5</v>
      </c>
      <c r="C5" s="199"/>
      <c r="D5" s="190" t="s">
        <v>6</v>
      </c>
      <c r="E5" s="131"/>
      <c r="F5" s="183" t="s">
        <v>7</v>
      </c>
      <c r="G5" s="184"/>
      <c r="H5" s="185"/>
      <c r="I5" s="190" t="s">
        <v>8</v>
      </c>
      <c r="J5" s="183" t="s">
        <v>9</v>
      </c>
      <c r="K5" s="184"/>
      <c r="L5" s="184"/>
      <c r="M5" s="184"/>
      <c r="N5" s="185"/>
      <c r="O5" s="183" t="s">
        <v>10</v>
      </c>
      <c r="P5" s="184"/>
      <c r="Q5" s="184"/>
      <c r="R5" s="184"/>
      <c r="S5" s="184"/>
      <c r="T5" s="185"/>
      <c r="U5" s="9"/>
      <c r="V5" s="22"/>
      <c r="W5" s="22"/>
      <c r="X5" s="22"/>
    </row>
    <row r="6" spans="1:24" s="1" customFormat="1" ht="21" customHeight="1">
      <c r="A6" s="191"/>
      <c r="B6" s="200"/>
      <c r="C6" s="201"/>
      <c r="D6" s="191"/>
      <c r="E6" s="130"/>
      <c r="F6" s="82" t="s">
        <v>11</v>
      </c>
      <c r="G6" s="134" t="s">
        <v>12</v>
      </c>
      <c r="H6" s="134" t="s">
        <v>13</v>
      </c>
      <c r="I6" s="191"/>
      <c r="J6" s="134" t="s">
        <v>14</v>
      </c>
      <c r="K6" s="134" t="s">
        <v>45</v>
      </c>
      <c r="L6" s="134" t="s">
        <v>15</v>
      </c>
      <c r="M6" s="134" t="s">
        <v>16</v>
      </c>
      <c r="N6" s="134" t="s">
        <v>17</v>
      </c>
      <c r="O6" s="134" t="s">
        <v>18</v>
      </c>
      <c r="P6" s="134" t="s">
        <v>19</v>
      </c>
      <c r="Q6" s="134" t="s">
        <v>46</v>
      </c>
      <c r="R6" s="134" t="s">
        <v>47</v>
      </c>
      <c r="S6" s="134" t="s">
        <v>20</v>
      </c>
      <c r="T6" s="134" t="s">
        <v>21</v>
      </c>
      <c r="U6" s="9"/>
      <c r="V6" s="22"/>
      <c r="W6" s="22"/>
      <c r="X6" s="22"/>
    </row>
    <row r="7" spans="1:24" s="1" customFormat="1" ht="11.25" customHeight="1">
      <c r="A7" s="133">
        <v>1</v>
      </c>
      <c r="B7" s="179">
        <v>2</v>
      </c>
      <c r="C7" s="180"/>
      <c r="D7" s="37">
        <v>3</v>
      </c>
      <c r="E7" s="37"/>
      <c r="F7" s="83">
        <v>4</v>
      </c>
      <c r="G7" s="37">
        <v>5</v>
      </c>
      <c r="H7" s="37">
        <v>6</v>
      </c>
      <c r="I7" s="37">
        <v>7</v>
      </c>
      <c r="J7" s="37">
        <v>8</v>
      </c>
      <c r="K7" s="37">
        <v>9</v>
      </c>
      <c r="L7" s="37">
        <v>10</v>
      </c>
      <c r="M7" s="37">
        <v>11</v>
      </c>
      <c r="N7" s="37">
        <v>12</v>
      </c>
      <c r="O7" s="37">
        <v>13</v>
      </c>
      <c r="P7" s="37">
        <v>14</v>
      </c>
      <c r="Q7" s="37">
        <v>15</v>
      </c>
      <c r="R7" s="37">
        <v>16</v>
      </c>
      <c r="S7" s="37">
        <v>17</v>
      </c>
      <c r="T7" s="37">
        <v>18</v>
      </c>
      <c r="U7" s="10"/>
      <c r="V7" s="23"/>
      <c r="W7" s="23"/>
      <c r="X7" s="23"/>
    </row>
    <row r="8" spans="1:24" s="1" customFormat="1" ht="11.25" customHeight="1">
      <c r="A8" s="206" t="s">
        <v>22</v>
      </c>
      <c r="B8" s="207"/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7"/>
      <c r="P8" s="207"/>
      <c r="Q8" s="207"/>
      <c r="R8" s="207"/>
      <c r="S8" s="207"/>
      <c r="T8" s="208"/>
      <c r="U8" s="11"/>
      <c r="V8" s="24"/>
      <c r="W8" s="24"/>
      <c r="X8" s="24"/>
    </row>
    <row r="9" spans="1:24" s="104" customFormat="1" ht="20.25" customHeight="1">
      <c r="A9" s="67">
        <v>71</v>
      </c>
      <c r="B9" s="167" t="s">
        <v>52</v>
      </c>
      <c r="C9" s="168"/>
      <c r="D9" s="73">
        <v>40</v>
      </c>
      <c r="E9" s="73">
        <v>9.24</v>
      </c>
      <c r="F9" s="125">
        <f>0.5*D9/60</f>
        <v>0.3333333333333333</v>
      </c>
      <c r="G9" s="125">
        <f>0.03*D9/30</f>
        <v>0.04</v>
      </c>
      <c r="H9" s="125">
        <f>1.7*D9/60</f>
        <v>1.1333333333333333</v>
      </c>
      <c r="I9" s="125">
        <f>F9*4+G9*9+H9*4</f>
        <v>6.226666666666667</v>
      </c>
      <c r="J9" s="74">
        <v>0.009</v>
      </c>
      <c r="K9" s="125">
        <v>0.01</v>
      </c>
      <c r="L9" s="75">
        <v>3</v>
      </c>
      <c r="M9" s="74">
        <v>0.003</v>
      </c>
      <c r="N9" s="73">
        <v>0.03</v>
      </c>
      <c r="O9" s="125">
        <v>6.9</v>
      </c>
      <c r="P9" s="125">
        <v>12.6</v>
      </c>
      <c r="Q9" s="74">
        <v>0.064</v>
      </c>
      <c r="R9" s="74">
        <v>0.001</v>
      </c>
      <c r="S9" s="125">
        <v>4.2</v>
      </c>
      <c r="T9" s="125">
        <v>0.18</v>
      </c>
      <c r="U9" s="32"/>
      <c r="V9" s="33"/>
      <c r="W9" s="33"/>
      <c r="X9" s="33"/>
    </row>
    <row r="10" spans="1:24" s="104" customFormat="1" ht="22.5" customHeight="1">
      <c r="A10" s="140">
        <v>591</v>
      </c>
      <c r="B10" s="181" t="s">
        <v>83</v>
      </c>
      <c r="C10" s="182"/>
      <c r="D10" s="141">
        <v>120</v>
      </c>
      <c r="E10" s="142">
        <v>45.68</v>
      </c>
      <c r="F10" s="142">
        <v>5.86</v>
      </c>
      <c r="G10" s="142">
        <v>16.31</v>
      </c>
      <c r="H10" s="142">
        <v>3.07</v>
      </c>
      <c r="I10" s="142">
        <v>182.51</v>
      </c>
      <c r="J10" s="142">
        <v>0.14</v>
      </c>
      <c r="K10" s="142">
        <v>0.05</v>
      </c>
      <c r="L10" s="142">
        <v>0.09</v>
      </c>
      <c r="M10" s="142">
        <v>0</v>
      </c>
      <c r="N10" s="142">
        <v>0</v>
      </c>
      <c r="O10" s="142">
        <v>9.54</v>
      </c>
      <c r="P10" s="142">
        <v>63.38</v>
      </c>
      <c r="Q10" s="142">
        <v>1.12</v>
      </c>
      <c r="R10" s="142">
        <v>2.55</v>
      </c>
      <c r="S10" s="142">
        <v>11.3</v>
      </c>
      <c r="T10" s="142">
        <v>0.75</v>
      </c>
      <c r="U10" s="114"/>
      <c r="V10" s="115"/>
      <c r="W10" s="115"/>
      <c r="X10" s="115"/>
    </row>
    <row r="11" spans="1:24" s="104" customFormat="1" ht="24" customHeight="1">
      <c r="A11" s="133">
        <v>203</v>
      </c>
      <c r="B11" s="167" t="s">
        <v>65</v>
      </c>
      <c r="C11" s="168"/>
      <c r="D11" s="111">
        <v>180</v>
      </c>
      <c r="E11" s="112">
        <v>8.37</v>
      </c>
      <c r="F11" s="112">
        <f>5.7*D11/150</f>
        <v>6.84</v>
      </c>
      <c r="G11" s="112">
        <f>3.43*D11/150</f>
        <v>4.116</v>
      </c>
      <c r="H11" s="112">
        <f>36.45*D11/150</f>
        <v>43.74000000000001</v>
      </c>
      <c r="I11" s="112">
        <f>F11*4+G11*9+H11*4</f>
        <v>239.36400000000003</v>
      </c>
      <c r="J11" s="112">
        <f>0.09*D11/150</f>
        <v>0.108</v>
      </c>
      <c r="K11" s="112">
        <f>0.03*D11/150</f>
        <v>0.036</v>
      </c>
      <c r="L11" s="112">
        <v>0</v>
      </c>
      <c r="M11" s="113">
        <f>0.03*D11/150</f>
        <v>0.036</v>
      </c>
      <c r="N11" s="112">
        <f>1.25*D11/150</f>
        <v>1.5</v>
      </c>
      <c r="O11" s="112">
        <f>13.28*D11/150</f>
        <v>15.936</v>
      </c>
      <c r="P11" s="112">
        <f>46.21*D11/150</f>
        <v>55.452</v>
      </c>
      <c r="Q11" s="112">
        <f>0.78*D11/150</f>
        <v>0.936</v>
      </c>
      <c r="R11" s="113">
        <f>0.0015*D11/150</f>
        <v>0.0018000000000000002</v>
      </c>
      <c r="S11" s="112">
        <f>8.47*D11/150</f>
        <v>10.164000000000001</v>
      </c>
      <c r="T11" s="112">
        <f>0.86*D11/150</f>
        <v>1.032</v>
      </c>
      <c r="U11" s="114"/>
      <c r="V11" s="115"/>
      <c r="W11" s="115"/>
      <c r="X11" s="115"/>
    </row>
    <row r="12" spans="1:24" s="104" customFormat="1" ht="12.75" customHeight="1">
      <c r="A12" s="133">
        <v>376</v>
      </c>
      <c r="B12" s="166" t="s">
        <v>93</v>
      </c>
      <c r="C12" s="166"/>
      <c r="D12" s="111">
        <v>200</v>
      </c>
      <c r="E12" s="112">
        <v>2.2</v>
      </c>
      <c r="F12" s="112">
        <v>0.2</v>
      </c>
      <c r="G12" s="112">
        <v>0.05</v>
      </c>
      <c r="H12" s="112">
        <v>15.01</v>
      </c>
      <c r="I12" s="112">
        <v>61.29</v>
      </c>
      <c r="J12" s="112">
        <v>0</v>
      </c>
      <c r="K12" s="112">
        <v>0.01</v>
      </c>
      <c r="L12" s="112">
        <v>9</v>
      </c>
      <c r="M12" s="109">
        <v>0</v>
      </c>
      <c r="N12" s="112">
        <v>0.045</v>
      </c>
      <c r="O12" s="112">
        <v>5.25</v>
      </c>
      <c r="P12" s="112">
        <v>8.24</v>
      </c>
      <c r="Q12" s="112">
        <v>0.008</v>
      </c>
      <c r="R12" s="113">
        <v>0</v>
      </c>
      <c r="S12" s="112">
        <v>4.4</v>
      </c>
      <c r="T12" s="112">
        <v>0.87</v>
      </c>
      <c r="U12" s="114"/>
      <c r="V12" s="115"/>
      <c r="W12" s="115"/>
      <c r="X12" s="115"/>
    </row>
    <row r="13" spans="1:24" s="104" customFormat="1" ht="11.25" customHeight="1">
      <c r="A13" s="117" t="s">
        <v>54</v>
      </c>
      <c r="B13" s="167" t="s">
        <v>40</v>
      </c>
      <c r="C13" s="168"/>
      <c r="D13" s="111">
        <v>40</v>
      </c>
      <c r="E13" s="112">
        <v>3.1</v>
      </c>
      <c r="F13" s="112">
        <f>1.52*D13/30</f>
        <v>2.0266666666666664</v>
      </c>
      <c r="G13" s="113">
        <f>0.16*D13/30</f>
        <v>0.21333333333333335</v>
      </c>
      <c r="H13" s="113">
        <f>9.84*D13/30</f>
        <v>13.120000000000001</v>
      </c>
      <c r="I13" s="113">
        <f>F13*4+G13*9+H13*4</f>
        <v>62.50666666666667</v>
      </c>
      <c r="J13" s="113">
        <f>0.02*D13/30</f>
        <v>0.02666666666666667</v>
      </c>
      <c r="K13" s="113">
        <f>0.01*D13/30</f>
        <v>0.013333333333333334</v>
      </c>
      <c r="L13" s="113">
        <f>0.44*D13/30</f>
        <v>0.5866666666666667</v>
      </c>
      <c r="M13" s="113">
        <v>0</v>
      </c>
      <c r="N13" s="113">
        <f>0.7*D13/30</f>
        <v>0.9333333333333333</v>
      </c>
      <c r="O13" s="113">
        <f>4*D13/30</f>
        <v>5.333333333333333</v>
      </c>
      <c r="P13" s="113">
        <f>13*D13/30</f>
        <v>17.333333333333332</v>
      </c>
      <c r="Q13" s="113">
        <f>0.008*D13/30</f>
        <v>0.010666666666666666</v>
      </c>
      <c r="R13" s="113">
        <f>0.001*D13/30</f>
        <v>0.0013333333333333333</v>
      </c>
      <c r="S13" s="113">
        <v>0</v>
      </c>
      <c r="T13" s="113">
        <f>0.22*D13/30</f>
        <v>0.29333333333333333</v>
      </c>
      <c r="U13" s="114"/>
      <c r="V13" s="115"/>
      <c r="W13" s="115"/>
      <c r="X13" s="115"/>
    </row>
    <row r="14" spans="1:20" s="100" customFormat="1" ht="12.75" customHeight="1">
      <c r="A14" s="143" t="s">
        <v>54</v>
      </c>
      <c r="B14" s="187" t="s">
        <v>94</v>
      </c>
      <c r="C14" s="187"/>
      <c r="D14" s="124">
        <v>20</v>
      </c>
      <c r="E14" s="101">
        <v>11.41</v>
      </c>
      <c r="F14" s="101">
        <v>0.4</v>
      </c>
      <c r="G14" s="101">
        <v>0.4</v>
      </c>
      <c r="H14" s="101">
        <v>9.8</v>
      </c>
      <c r="I14" s="101">
        <f>F14*4+G14*9+H14*4</f>
        <v>44.400000000000006</v>
      </c>
      <c r="J14" s="101">
        <v>0.04</v>
      </c>
      <c r="K14" s="101">
        <v>0.02</v>
      </c>
      <c r="L14" s="124">
        <v>10</v>
      </c>
      <c r="M14" s="124">
        <v>0.02</v>
      </c>
      <c r="N14" s="101">
        <v>0.2</v>
      </c>
      <c r="O14" s="101">
        <v>16</v>
      </c>
      <c r="P14" s="101">
        <v>11</v>
      </c>
      <c r="Q14" s="124">
        <v>0.03</v>
      </c>
      <c r="R14" s="124">
        <v>0.002</v>
      </c>
      <c r="S14" s="101">
        <v>9</v>
      </c>
      <c r="T14" s="101">
        <v>2.2</v>
      </c>
    </row>
    <row r="15" spans="1:24" s="104" customFormat="1" ht="11.25" customHeight="1">
      <c r="A15" s="61" t="s">
        <v>24</v>
      </c>
      <c r="B15" s="62"/>
      <c r="C15" s="62"/>
      <c r="D15" s="60">
        <f>SUM(D9:D14)</f>
        <v>600</v>
      </c>
      <c r="E15" s="118">
        <f>SUM(E9:E14)</f>
        <v>79.99999999999999</v>
      </c>
      <c r="F15" s="39">
        <f>SUM(F9:F14)</f>
        <v>15.659999999999998</v>
      </c>
      <c r="G15" s="39">
        <f aca="true" t="shared" si="0" ref="G15:T15">SUM(G9:G14)</f>
        <v>21.12933333333333</v>
      </c>
      <c r="H15" s="39">
        <f t="shared" si="0"/>
        <v>85.87333333333333</v>
      </c>
      <c r="I15" s="39">
        <f t="shared" si="0"/>
        <v>596.2973333333334</v>
      </c>
      <c r="J15" s="39">
        <f t="shared" si="0"/>
        <v>0.32366666666666666</v>
      </c>
      <c r="K15" s="39">
        <f t="shared" si="0"/>
        <v>0.13933333333333334</v>
      </c>
      <c r="L15" s="39">
        <f t="shared" si="0"/>
        <v>22.676666666666666</v>
      </c>
      <c r="M15" s="39">
        <f t="shared" si="0"/>
        <v>0.059</v>
      </c>
      <c r="N15" s="39">
        <f t="shared" si="0"/>
        <v>2.7083333333333335</v>
      </c>
      <c r="O15" s="39">
        <f t="shared" si="0"/>
        <v>58.95933333333333</v>
      </c>
      <c r="P15" s="39">
        <f t="shared" si="0"/>
        <v>168.00533333333337</v>
      </c>
      <c r="Q15" s="39">
        <f t="shared" si="0"/>
        <v>2.1686666666666667</v>
      </c>
      <c r="R15" s="39">
        <f t="shared" si="0"/>
        <v>2.5561333333333325</v>
      </c>
      <c r="S15" s="39">
        <f t="shared" si="0"/>
        <v>39.064</v>
      </c>
      <c r="T15" s="39">
        <f t="shared" si="0"/>
        <v>5.325333333333333</v>
      </c>
      <c r="U15" s="38"/>
      <c r="V15" s="106"/>
      <c r="W15" s="106"/>
      <c r="X15" s="106"/>
    </row>
    <row r="16" spans="1:24" s="104" customFormat="1" ht="11.25" customHeight="1">
      <c r="A16" s="176" t="s">
        <v>50</v>
      </c>
      <c r="B16" s="177"/>
      <c r="C16" s="177"/>
      <c r="D16" s="178"/>
      <c r="E16" s="126"/>
      <c r="F16" s="119">
        <f aca="true" t="shared" si="1" ref="F16:T16">F15/F34</f>
        <v>0.174</v>
      </c>
      <c r="G16" s="71">
        <f t="shared" si="1"/>
        <v>0.22966666666666666</v>
      </c>
      <c r="H16" s="71">
        <f t="shared" si="1"/>
        <v>0.22421235857267188</v>
      </c>
      <c r="I16" s="71">
        <f t="shared" si="1"/>
        <v>0.21922696078431375</v>
      </c>
      <c r="J16" s="71">
        <f t="shared" si="1"/>
        <v>0.2311904761904762</v>
      </c>
      <c r="K16" s="71">
        <f t="shared" si="1"/>
        <v>0.08708333333333333</v>
      </c>
      <c r="L16" s="71">
        <f t="shared" si="1"/>
        <v>0.32395238095238094</v>
      </c>
      <c r="M16" s="71">
        <f t="shared" si="1"/>
        <v>0.06555555555555555</v>
      </c>
      <c r="N16" s="71">
        <f t="shared" si="1"/>
        <v>0.22569444444444445</v>
      </c>
      <c r="O16" s="44">
        <f t="shared" si="1"/>
        <v>0.049132777777777775</v>
      </c>
      <c r="P16" s="71">
        <f t="shared" si="1"/>
        <v>0.1400044444444445</v>
      </c>
      <c r="Q16" s="71">
        <f t="shared" si="1"/>
        <v>0.1549047619047619</v>
      </c>
      <c r="R16" s="71">
        <f t="shared" si="1"/>
        <v>25.561333333333323</v>
      </c>
      <c r="S16" s="71">
        <f t="shared" si="1"/>
        <v>0.13021333333333332</v>
      </c>
      <c r="T16" s="44">
        <f t="shared" si="1"/>
        <v>0.2958518518518518</v>
      </c>
      <c r="U16" s="108"/>
      <c r="V16" s="106"/>
      <c r="W16" s="106"/>
      <c r="X16" s="106"/>
    </row>
    <row r="17" spans="1:20" s="100" customFormat="1" ht="14.25" customHeight="1">
      <c r="A17" s="144" t="s">
        <v>54</v>
      </c>
      <c r="B17" s="217" t="s">
        <v>90</v>
      </c>
      <c r="C17" s="217"/>
      <c r="D17" s="145">
        <v>200</v>
      </c>
      <c r="E17" s="146"/>
      <c r="F17" s="147">
        <v>5.6</v>
      </c>
      <c r="G17" s="147">
        <v>6.4</v>
      </c>
      <c r="H17" s="147">
        <v>9.4</v>
      </c>
      <c r="I17" s="147">
        <v>117.6</v>
      </c>
      <c r="J17" s="147">
        <v>0.08</v>
      </c>
      <c r="K17" s="147">
        <v>0.307</v>
      </c>
      <c r="L17" s="147">
        <v>2.6</v>
      </c>
      <c r="M17" s="147">
        <v>0.067</v>
      </c>
      <c r="N17" s="147">
        <v>0.292</v>
      </c>
      <c r="O17" s="147">
        <v>240</v>
      </c>
      <c r="P17" s="147">
        <v>180</v>
      </c>
      <c r="Q17" s="147">
        <v>0.8</v>
      </c>
      <c r="R17" s="147">
        <v>0.018</v>
      </c>
      <c r="S17" s="147">
        <v>28</v>
      </c>
      <c r="T17" s="147">
        <v>0.12</v>
      </c>
    </row>
    <row r="18" spans="1:24" s="104" customFormat="1" ht="11.25" customHeight="1">
      <c r="A18" s="206" t="s">
        <v>27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207"/>
      <c r="P18" s="207"/>
      <c r="Q18" s="207"/>
      <c r="R18" s="207"/>
      <c r="S18" s="207"/>
      <c r="T18" s="208"/>
      <c r="U18" s="11"/>
      <c r="V18" s="24"/>
      <c r="W18" s="24"/>
      <c r="X18" s="24"/>
    </row>
    <row r="19" spans="1:24" s="104" customFormat="1" ht="22.5" customHeight="1">
      <c r="A19" s="133">
        <v>56</v>
      </c>
      <c r="B19" s="166" t="s">
        <v>86</v>
      </c>
      <c r="C19" s="166"/>
      <c r="D19" s="111">
        <v>100</v>
      </c>
      <c r="E19" s="112">
        <v>7.5</v>
      </c>
      <c r="F19" s="112">
        <f>0.9*D19/60</f>
        <v>1.5</v>
      </c>
      <c r="G19" s="110">
        <f>3.1*D19/60</f>
        <v>5.166666666666667</v>
      </c>
      <c r="H19" s="110">
        <f>5.6*D19/60</f>
        <v>9.333333333333334</v>
      </c>
      <c r="I19" s="112">
        <f>F19*4+G19*9+H19*4</f>
        <v>89.83333333333334</v>
      </c>
      <c r="J19" s="113">
        <f>0.1*D19/60</f>
        <v>0.16666666666666666</v>
      </c>
      <c r="K19" s="113">
        <f>0.1*D19/60</f>
        <v>0.16666666666666666</v>
      </c>
      <c r="L19" s="112">
        <f>12.3*D19/60</f>
        <v>20.5</v>
      </c>
      <c r="M19" s="113">
        <f>0.02*D19/60</f>
        <v>0.03333333333333333</v>
      </c>
      <c r="N19" s="113">
        <f>0.5*D19/60</f>
        <v>0.8333333333333334</v>
      </c>
      <c r="O19" s="110">
        <f>59.9*D19/60</f>
        <v>99.83333333333333</v>
      </c>
      <c r="P19" s="110">
        <f>31.3*D19/60</f>
        <v>52.166666666666664</v>
      </c>
      <c r="Q19" s="116">
        <f>0.4228*D19/60</f>
        <v>0.7046666666666667</v>
      </c>
      <c r="R19" s="113">
        <f>0.003*D19/60</f>
        <v>0.005</v>
      </c>
      <c r="S19" s="110">
        <f>16.3*D19/60</f>
        <v>27.166666666666668</v>
      </c>
      <c r="T19" s="112">
        <f>0.7*D19/60</f>
        <v>1.1666666666666667</v>
      </c>
      <c r="U19" s="114"/>
      <c r="V19" s="115"/>
      <c r="W19" s="115"/>
      <c r="X19" s="115"/>
    </row>
    <row r="20" spans="1:24" s="104" customFormat="1" ht="15" customHeight="1">
      <c r="A20" s="133">
        <v>96</v>
      </c>
      <c r="B20" s="167" t="s">
        <v>78</v>
      </c>
      <c r="C20" s="168"/>
      <c r="D20" s="111">
        <v>250</v>
      </c>
      <c r="E20" s="112">
        <v>13.85</v>
      </c>
      <c r="F20" s="112">
        <f>2.6*D20/250</f>
        <v>2.6</v>
      </c>
      <c r="G20" s="112">
        <f>6.13*D20/250</f>
        <v>6.13</v>
      </c>
      <c r="H20" s="112">
        <f>17.03*D20/250</f>
        <v>17.03</v>
      </c>
      <c r="I20" s="112">
        <f aca="true" t="shared" si="2" ref="I20:I25">F20*4+G20*9+H20*4</f>
        <v>133.69</v>
      </c>
      <c r="J20" s="112">
        <f>0.123*D20/250</f>
        <v>0.123</v>
      </c>
      <c r="K20" s="113">
        <f>0.074*D20/250</f>
        <v>0.074</v>
      </c>
      <c r="L20" s="110">
        <f>16.03*D20/250</f>
        <v>16.03</v>
      </c>
      <c r="M20" s="112">
        <f>0.035*D20/250</f>
        <v>0.035</v>
      </c>
      <c r="N20" s="109">
        <v>0</v>
      </c>
      <c r="O20" s="110">
        <f>25.3*D20/250</f>
        <v>25.3</v>
      </c>
      <c r="P20" s="110">
        <f>71.05*D20/250</f>
        <v>71.05</v>
      </c>
      <c r="Q20" s="111">
        <v>0</v>
      </c>
      <c r="R20" s="111">
        <v>0</v>
      </c>
      <c r="S20" s="110">
        <f>26.725*D20/250</f>
        <v>26.725</v>
      </c>
      <c r="T20" s="112">
        <f>0.95*D20/250</f>
        <v>0.95</v>
      </c>
      <c r="U20" s="114"/>
      <c r="V20" s="115"/>
      <c r="W20" s="115"/>
      <c r="X20" s="115"/>
    </row>
    <row r="21" spans="1:24" s="104" customFormat="1" ht="23.25" customHeight="1">
      <c r="A21" s="133">
        <v>266</v>
      </c>
      <c r="B21" s="167" t="s">
        <v>70</v>
      </c>
      <c r="C21" s="168"/>
      <c r="D21" s="111">
        <v>100</v>
      </c>
      <c r="E21" s="112">
        <v>44.81</v>
      </c>
      <c r="F21" s="112">
        <v>16.68</v>
      </c>
      <c r="G21" s="112">
        <v>23.27</v>
      </c>
      <c r="H21" s="112">
        <v>4.28</v>
      </c>
      <c r="I21" s="112">
        <v>293</v>
      </c>
      <c r="J21" s="112">
        <v>0.203</v>
      </c>
      <c r="K21" s="112">
        <v>0.23</v>
      </c>
      <c r="L21" s="112">
        <v>0.48</v>
      </c>
      <c r="M21" s="112">
        <f>0.04*D21/80</f>
        <v>0.05</v>
      </c>
      <c r="N21" s="109">
        <v>0.068</v>
      </c>
      <c r="O21" s="110">
        <v>54.5</v>
      </c>
      <c r="P21" s="110">
        <v>200.14</v>
      </c>
      <c r="Q21" s="112">
        <v>2.56</v>
      </c>
      <c r="R21" s="113">
        <f>0.04*D21/80</f>
        <v>0.05</v>
      </c>
      <c r="S21" s="110">
        <v>27.5</v>
      </c>
      <c r="T21" s="112">
        <v>2.17</v>
      </c>
      <c r="U21" s="114"/>
      <c r="V21" s="115"/>
      <c r="W21" s="115"/>
      <c r="X21" s="115"/>
    </row>
    <row r="22" spans="1:24" s="104" customFormat="1" ht="12.75" customHeight="1">
      <c r="A22" s="117">
        <v>171</v>
      </c>
      <c r="B22" s="167" t="s">
        <v>23</v>
      </c>
      <c r="C22" s="168"/>
      <c r="D22" s="111">
        <v>180</v>
      </c>
      <c r="E22" s="112">
        <v>13.8</v>
      </c>
      <c r="F22" s="112">
        <f>6.57*D22/150</f>
        <v>7.884000000000001</v>
      </c>
      <c r="G22" s="112">
        <f>4.19*D22/150</f>
        <v>5.0280000000000005</v>
      </c>
      <c r="H22" s="112">
        <f>32.32*D22/150</f>
        <v>38.784</v>
      </c>
      <c r="I22" s="112">
        <f t="shared" si="2"/>
        <v>231.924</v>
      </c>
      <c r="J22" s="113">
        <f>0.06*D22/150</f>
        <v>0.072</v>
      </c>
      <c r="K22" s="113">
        <f>0.03*D22/150</f>
        <v>0.036</v>
      </c>
      <c r="L22" s="109">
        <v>0</v>
      </c>
      <c r="M22" s="113">
        <f>0.03*D22/150</f>
        <v>0.036</v>
      </c>
      <c r="N22" s="109">
        <f>2.55*D22/150</f>
        <v>3.0599999999999996</v>
      </c>
      <c r="O22" s="112">
        <f>18.12*D22/150</f>
        <v>21.744000000000003</v>
      </c>
      <c r="P22" s="112">
        <f>157.03*D22/150</f>
        <v>188.436</v>
      </c>
      <c r="Q22" s="113">
        <f>0.8874*D22/150</f>
        <v>1.06488</v>
      </c>
      <c r="R22" s="113">
        <f>0.00135*D22/150</f>
        <v>0.0016200000000000001</v>
      </c>
      <c r="S22" s="112">
        <f>104.45*D22/150</f>
        <v>125.34</v>
      </c>
      <c r="T22" s="112">
        <f>3.55*D22/150</f>
        <v>4.26</v>
      </c>
      <c r="U22" s="114"/>
      <c r="V22" s="115"/>
      <c r="W22" s="115"/>
      <c r="X22" s="115"/>
    </row>
    <row r="23" spans="1:24" s="104" customFormat="1" ht="9.75">
      <c r="A23" s="140">
        <v>345</v>
      </c>
      <c r="B23" s="192" t="s">
        <v>37</v>
      </c>
      <c r="C23" s="192"/>
      <c r="D23" s="148">
        <v>200</v>
      </c>
      <c r="E23" s="142">
        <v>4.9</v>
      </c>
      <c r="F23" s="142">
        <v>0.06</v>
      </c>
      <c r="G23" s="142">
        <v>0.02</v>
      </c>
      <c r="H23" s="142">
        <v>20.73</v>
      </c>
      <c r="I23" s="142">
        <v>83.34</v>
      </c>
      <c r="J23" s="142">
        <v>0</v>
      </c>
      <c r="K23" s="142">
        <v>0</v>
      </c>
      <c r="L23" s="142">
        <v>2.5</v>
      </c>
      <c r="M23" s="142">
        <v>0.004</v>
      </c>
      <c r="N23" s="142">
        <v>0.2</v>
      </c>
      <c r="O23" s="142">
        <v>4</v>
      </c>
      <c r="P23" s="142">
        <v>3.3</v>
      </c>
      <c r="Q23" s="142">
        <v>0.08</v>
      </c>
      <c r="R23" s="142">
        <v>0.001</v>
      </c>
      <c r="S23" s="142">
        <v>1.7</v>
      </c>
      <c r="T23" s="142">
        <v>0.15</v>
      </c>
      <c r="U23" s="114"/>
      <c r="V23" s="115"/>
      <c r="W23" s="115"/>
      <c r="X23" s="115"/>
    </row>
    <row r="24" spans="1:24" s="104" customFormat="1" ht="11.25" customHeight="1">
      <c r="A24" s="72" t="s">
        <v>54</v>
      </c>
      <c r="B24" s="167" t="s">
        <v>35</v>
      </c>
      <c r="C24" s="168"/>
      <c r="D24" s="111">
        <v>40</v>
      </c>
      <c r="E24" s="112">
        <v>2.04</v>
      </c>
      <c r="F24" s="112">
        <f>2.64*D24/40</f>
        <v>2.64</v>
      </c>
      <c r="G24" s="112">
        <f>0.48*D24/40</f>
        <v>0.48</v>
      </c>
      <c r="H24" s="112">
        <f>13.68*D24/40</f>
        <v>13.680000000000001</v>
      </c>
      <c r="I24" s="110">
        <f t="shared" si="2"/>
        <v>69.60000000000001</v>
      </c>
      <c r="J24" s="109">
        <f>0.08*D24/40</f>
        <v>0.08</v>
      </c>
      <c r="K24" s="112">
        <f>0.04*D24/40</f>
        <v>0.04</v>
      </c>
      <c r="L24" s="111">
        <v>0</v>
      </c>
      <c r="M24" s="111">
        <v>0</v>
      </c>
      <c r="N24" s="112">
        <f>2.4*D24/40</f>
        <v>2.4</v>
      </c>
      <c r="O24" s="112">
        <f>14*D24/40</f>
        <v>14</v>
      </c>
      <c r="P24" s="112">
        <f>63.2*D24/40</f>
        <v>63.2</v>
      </c>
      <c r="Q24" s="112">
        <f>1.2*D24/40</f>
        <v>1.2</v>
      </c>
      <c r="R24" s="113">
        <f>0.001*D24/40</f>
        <v>0.001</v>
      </c>
      <c r="S24" s="112">
        <f>9.4*D24/40</f>
        <v>9.4</v>
      </c>
      <c r="T24" s="109">
        <f>0.78*D24/40</f>
        <v>0.78</v>
      </c>
      <c r="U24" s="30"/>
      <c r="V24" s="31"/>
      <c r="W24" s="31"/>
      <c r="X24" s="31"/>
    </row>
    <row r="25" spans="1:24" s="104" customFormat="1" ht="11.25" customHeight="1">
      <c r="A25" s="117" t="s">
        <v>54</v>
      </c>
      <c r="B25" s="167" t="s">
        <v>40</v>
      </c>
      <c r="C25" s="168"/>
      <c r="D25" s="111">
        <v>40</v>
      </c>
      <c r="E25" s="112">
        <v>3.1</v>
      </c>
      <c r="F25" s="112">
        <f>1.52*D25/30</f>
        <v>2.0266666666666664</v>
      </c>
      <c r="G25" s="113">
        <f>0.16*D25/30</f>
        <v>0.21333333333333335</v>
      </c>
      <c r="H25" s="113">
        <f>9.84*D25/30</f>
        <v>13.120000000000001</v>
      </c>
      <c r="I25" s="113">
        <f t="shared" si="2"/>
        <v>62.50666666666667</v>
      </c>
      <c r="J25" s="113">
        <f>0.02*D25/30</f>
        <v>0.02666666666666667</v>
      </c>
      <c r="K25" s="113">
        <f>0.01*D25/30</f>
        <v>0.013333333333333334</v>
      </c>
      <c r="L25" s="113">
        <f>0.44*D25/30</f>
        <v>0.5866666666666667</v>
      </c>
      <c r="M25" s="113">
        <v>0</v>
      </c>
      <c r="N25" s="113">
        <f>0.7*D25/30</f>
        <v>0.9333333333333333</v>
      </c>
      <c r="O25" s="113">
        <f>4*D25/30</f>
        <v>5.333333333333333</v>
      </c>
      <c r="P25" s="113">
        <f>13*D25/30</f>
        <v>17.333333333333332</v>
      </c>
      <c r="Q25" s="113">
        <f>0.008*D25/30</f>
        <v>0.010666666666666666</v>
      </c>
      <c r="R25" s="113">
        <f>0.001*D25/30</f>
        <v>0.0013333333333333333</v>
      </c>
      <c r="S25" s="113">
        <v>0</v>
      </c>
      <c r="T25" s="113">
        <f>0.22*D25/30</f>
        <v>0.29333333333333333</v>
      </c>
      <c r="U25" s="35"/>
      <c r="V25" s="36"/>
      <c r="W25" s="36"/>
      <c r="X25" s="36"/>
    </row>
    <row r="26" spans="1:24" s="104" customFormat="1" ht="11.25" customHeight="1">
      <c r="A26" s="61" t="s">
        <v>28</v>
      </c>
      <c r="B26" s="62"/>
      <c r="C26" s="62"/>
      <c r="D26" s="65">
        <f aca="true" t="shared" si="3" ref="D26:I26">SUM(D19:D25)</f>
        <v>910</v>
      </c>
      <c r="E26" s="118">
        <f t="shared" si="3"/>
        <v>90</v>
      </c>
      <c r="F26" s="39">
        <f t="shared" si="3"/>
        <v>33.39066666666667</v>
      </c>
      <c r="G26" s="38">
        <f t="shared" si="3"/>
        <v>40.30799999999999</v>
      </c>
      <c r="H26" s="49">
        <f t="shared" si="3"/>
        <v>116.95733333333335</v>
      </c>
      <c r="I26" s="38">
        <f t="shared" si="3"/>
        <v>963.894</v>
      </c>
      <c r="J26" s="38">
        <f aca="true" t="shared" si="4" ref="J26:T26">SUM(J19:J25)</f>
        <v>0.6713333333333332</v>
      </c>
      <c r="K26" s="38">
        <f t="shared" si="4"/>
        <v>0.56</v>
      </c>
      <c r="L26" s="38">
        <f t="shared" si="4"/>
        <v>40.096666666666664</v>
      </c>
      <c r="M26" s="39">
        <f t="shared" si="4"/>
        <v>0.15833333333333333</v>
      </c>
      <c r="N26" s="39">
        <f t="shared" si="4"/>
        <v>7.494666666666667</v>
      </c>
      <c r="O26" s="49">
        <f t="shared" si="4"/>
        <v>224.71066666666667</v>
      </c>
      <c r="P26" s="38">
        <f t="shared" si="4"/>
        <v>595.6260000000001</v>
      </c>
      <c r="Q26" s="40">
        <f t="shared" si="4"/>
        <v>5.620213333333334</v>
      </c>
      <c r="R26" s="40">
        <f t="shared" si="4"/>
        <v>0.05995333333333334</v>
      </c>
      <c r="S26" s="38">
        <f t="shared" si="4"/>
        <v>217.83166666666668</v>
      </c>
      <c r="T26" s="39">
        <f t="shared" si="4"/>
        <v>9.77</v>
      </c>
      <c r="U26" s="38"/>
      <c r="V26" s="106"/>
      <c r="W26" s="106"/>
      <c r="X26" s="106"/>
    </row>
    <row r="27" spans="1:24" s="104" customFormat="1" ht="11.25" customHeight="1">
      <c r="A27" s="176" t="s">
        <v>50</v>
      </c>
      <c r="B27" s="177"/>
      <c r="C27" s="177"/>
      <c r="D27" s="178"/>
      <c r="E27" s="126"/>
      <c r="F27" s="119">
        <f aca="true" t="shared" si="5" ref="F27:T27">F26/F34</f>
        <v>0.3710074074074074</v>
      </c>
      <c r="G27" s="71">
        <f t="shared" si="5"/>
        <v>0.4381304347826086</v>
      </c>
      <c r="H27" s="71">
        <f t="shared" si="5"/>
        <v>0.30537162750217584</v>
      </c>
      <c r="I27" s="71">
        <f t="shared" si="5"/>
        <v>0.35437279411764705</v>
      </c>
      <c r="J27" s="71">
        <f t="shared" si="5"/>
        <v>0.47952380952380946</v>
      </c>
      <c r="K27" s="71">
        <f t="shared" si="5"/>
        <v>0.35000000000000003</v>
      </c>
      <c r="L27" s="71">
        <f t="shared" si="5"/>
        <v>0.5728095238095238</v>
      </c>
      <c r="M27" s="71">
        <f t="shared" si="5"/>
        <v>0.1759259259259259</v>
      </c>
      <c r="N27" s="71">
        <f t="shared" si="5"/>
        <v>0.6245555555555556</v>
      </c>
      <c r="O27" s="44">
        <f t="shared" si="5"/>
        <v>0.1872588888888889</v>
      </c>
      <c r="P27" s="71">
        <f t="shared" si="5"/>
        <v>0.4963550000000001</v>
      </c>
      <c r="Q27" s="71">
        <f t="shared" si="5"/>
        <v>0.4014438095238096</v>
      </c>
      <c r="R27" s="71">
        <f t="shared" si="5"/>
        <v>0.5995333333333334</v>
      </c>
      <c r="S27" s="71">
        <f t="shared" si="5"/>
        <v>0.7261055555555556</v>
      </c>
      <c r="T27" s="44">
        <f t="shared" si="5"/>
        <v>0.5427777777777778</v>
      </c>
      <c r="U27" s="108"/>
      <c r="V27" s="106"/>
      <c r="W27" s="106"/>
      <c r="X27" s="106"/>
    </row>
    <row r="28" spans="1:24" s="104" customFormat="1" ht="11.25" customHeight="1">
      <c r="A28" s="206" t="s">
        <v>29</v>
      </c>
      <c r="B28" s="207"/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8"/>
      <c r="U28" s="11"/>
      <c r="V28" s="24"/>
      <c r="W28" s="24"/>
      <c r="X28" s="24"/>
    </row>
    <row r="29" spans="1:20" s="122" customFormat="1" ht="16.5" customHeight="1">
      <c r="A29" s="149"/>
      <c r="B29" s="187"/>
      <c r="C29" s="187"/>
      <c r="D29" s="124"/>
      <c r="E29" s="101"/>
      <c r="F29" s="101"/>
      <c r="G29" s="101"/>
      <c r="H29" s="101"/>
      <c r="I29" s="101"/>
      <c r="J29" s="150"/>
      <c r="K29" s="101"/>
      <c r="L29" s="101"/>
      <c r="M29" s="150"/>
      <c r="N29" s="151"/>
      <c r="O29" s="152"/>
      <c r="P29" s="101"/>
      <c r="Q29" s="101"/>
      <c r="R29" s="150"/>
      <c r="S29" s="101"/>
      <c r="T29" s="101"/>
    </row>
    <row r="30" spans="1:20" s="100" customFormat="1" ht="12.75" customHeight="1">
      <c r="A30" s="153"/>
      <c r="B30" s="212"/>
      <c r="C30" s="212"/>
      <c r="D30" s="154"/>
      <c r="E30" s="155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</row>
    <row r="31" spans="1:24" s="1" customFormat="1" ht="11.25" customHeight="1">
      <c r="A31" s="61" t="s">
        <v>30</v>
      </c>
      <c r="B31" s="62"/>
      <c r="C31" s="62"/>
      <c r="D31" s="65">
        <f aca="true" t="shared" si="6" ref="D31:T31">SUM(D29:D30)</f>
        <v>0</v>
      </c>
      <c r="E31" s="118">
        <f t="shared" si="6"/>
        <v>0</v>
      </c>
      <c r="F31" s="118">
        <f t="shared" si="6"/>
        <v>0</v>
      </c>
      <c r="G31" s="118">
        <f t="shared" si="6"/>
        <v>0</v>
      </c>
      <c r="H31" s="118">
        <f t="shared" si="6"/>
        <v>0</v>
      </c>
      <c r="I31" s="118">
        <f t="shared" si="6"/>
        <v>0</v>
      </c>
      <c r="J31" s="118">
        <f t="shared" si="6"/>
        <v>0</v>
      </c>
      <c r="K31" s="118">
        <f t="shared" si="6"/>
        <v>0</v>
      </c>
      <c r="L31" s="118">
        <f t="shared" si="6"/>
        <v>0</v>
      </c>
      <c r="M31" s="118">
        <f t="shared" si="6"/>
        <v>0</v>
      </c>
      <c r="N31" s="118">
        <f t="shared" si="6"/>
        <v>0</v>
      </c>
      <c r="O31" s="118">
        <f t="shared" si="6"/>
        <v>0</v>
      </c>
      <c r="P31" s="118">
        <f t="shared" si="6"/>
        <v>0</v>
      </c>
      <c r="Q31" s="118">
        <f t="shared" si="6"/>
        <v>0</v>
      </c>
      <c r="R31" s="118">
        <f t="shared" si="6"/>
        <v>0</v>
      </c>
      <c r="S31" s="118">
        <f t="shared" si="6"/>
        <v>0</v>
      </c>
      <c r="T31" s="118">
        <f t="shared" si="6"/>
        <v>0</v>
      </c>
      <c r="U31" s="38"/>
      <c r="V31" s="106"/>
      <c r="W31" s="106"/>
      <c r="X31" s="106"/>
    </row>
    <row r="32" spans="1:24" s="1" customFormat="1" ht="11.25" customHeight="1">
      <c r="A32" s="176" t="s">
        <v>50</v>
      </c>
      <c r="B32" s="177"/>
      <c r="C32" s="177"/>
      <c r="D32" s="178"/>
      <c r="E32" s="127"/>
      <c r="F32" s="71">
        <f>F31/F34</f>
        <v>0</v>
      </c>
      <c r="G32" s="71">
        <f aca="true" t="shared" si="7" ref="G32:T32">G31/G34</f>
        <v>0</v>
      </c>
      <c r="H32" s="71">
        <f t="shared" si="7"/>
        <v>0</v>
      </c>
      <c r="I32" s="71">
        <f t="shared" si="7"/>
        <v>0</v>
      </c>
      <c r="J32" s="71">
        <f t="shared" si="7"/>
        <v>0</v>
      </c>
      <c r="K32" s="71">
        <f t="shared" si="7"/>
        <v>0</v>
      </c>
      <c r="L32" s="71">
        <f t="shared" si="7"/>
        <v>0</v>
      </c>
      <c r="M32" s="71">
        <f t="shared" si="7"/>
        <v>0</v>
      </c>
      <c r="N32" s="71">
        <f t="shared" si="7"/>
        <v>0</v>
      </c>
      <c r="O32" s="71">
        <f t="shared" si="7"/>
        <v>0</v>
      </c>
      <c r="P32" s="71">
        <f t="shared" si="7"/>
        <v>0</v>
      </c>
      <c r="Q32" s="71">
        <f t="shared" si="7"/>
        <v>0</v>
      </c>
      <c r="R32" s="71">
        <f t="shared" si="7"/>
        <v>0</v>
      </c>
      <c r="S32" s="71">
        <f t="shared" si="7"/>
        <v>0</v>
      </c>
      <c r="T32" s="44">
        <f t="shared" si="7"/>
        <v>0</v>
      </c>
      <c r="U32" s="108"/>
      <c r="V32" s="106"/>
      <c r="W32" s="106"/>
      <c r="X32" s="106"/>
    </row>
    <row r="33" spans="1:24" s="1" customFormat="1" ht="11.25" customHeight="1">
      <c r="A33" s="61" t="s">
        <v>49</v>
      </c>
      <c r="B33" s="62"/>
      <c r="C33" s="62"/>
      <c r="D33" s="89">
        <f>D26+D15</f>
        <v>1510</v>
      </c>
      <c r="E33" s="136">
        <f>E26+E15</f>
        <v>170</v>
      </c>
      <c r="F33" s="39">
        <f aca="true" t="shared" si="8" ref="F33:T33">SUM(F15,F26,F31)</f>
        <v>49.050666666666665</v>
      </c>
      <c r="G33" s="38">
        <f t="shared" si="8"/>
        <v>61.43733333333333</v>
      </c>
      <c r="H33" s="38">
        <f t="shared" si="8"/>
        <v>202.83066666666667</v>
      </c>
      <c r="I33" s="38">
        <f t="shared" si="8"/>
        <v>1560.1913333333334</v>
      </c>
      <c r="J33" s="39">
        <f t="shared" si="8"/>
        <v>0.9949999999999999</v>
      </c>
      <c r="K33" s="39">
        <f t="shared" si="8"/>
        <v>0.6993333333333334</v>
      </c>
      <c r="L33" s="38">
        <f t="shared" si="8"/>
        <v>62.773333333333326</v>
      </c>
      <c r="M33" s="39">
        <f t="shared" si="8"/>
        <v>0.21733333333333332</v>
      </c>
      <c r="N33" s="39">
        <f t="shared" si="8"/>
        <v>10.203000000000001</v>
      </c>
      <c r="O33" s="38">
        <f t="shared" si="8"/>
        <v>283.67</v>
      </c>
      <c r="P33" s="38">
        <f t="shared" si="8"/>
        <v>763.6313333333335</v>
      </c>
      <c r="Q33" s="39">
        <f t="shared" si="8"/>
        <v>7.788880000000001</v>
      </c>
      <c r="R33" s="40">
        <f t="shared" si="8"/>
        <v>2.616086666666666</v>
      </c>
      <c r="S33" s="39">
        <f t="shared" si="8"/>
        <v>256.89566666666667</v>
      </c>
      <c r="T33" s="39">
        <f t="shared" si="8"/>
        <v>15.095333333333333</v>
      </c>
      <c r="U33" s="42"/>
      <c r="V33" s="106"/>
      <c r="W33" s="106"/>
      <c r="X33" s="106"/>
    </row>
    <row r="34" spans="1:24" s="1" customFormat="1" ht="11.25" customHeight="1">
      <c r="A34" s="169" t="s">
        <v>51</v>
      </c>
      <c r="B34" s="170"/>
      <c r="C34" s="170"/>
      <c r="D34" s="171"/>
      <c r="E34" s="132"/>
      <c r="F34" s="112">
        <v>90</v>
      </c>
      <c r="G34" s="110">
        <v>92</v>
      </c>
      <c r="H34" s="110">
        <v>383</v>
      </c>
      <c r="I34" s="110">
        <v>2720</v>
      </c>
      <c r="J34" s="112">
        <v>1.4</v>
      </c>
      <c r="K34" s="112">
        <v>1.6</v>
      </c>
      <c r="L34" s="111">
        <v>70</v>
      </c>
      <c r="M34" s="112">
        <v>0.9</v>
      </c>
      <c r="N34" s="111">
        <v>12</v>
      </c>
      <c r="O34" s="111">
        <v>1200</v>
      </c>
      <c r="P34" s="111">
        <v>1200</v>
      </c>
      <c r="Q34" s="111">
        <v>14</v>
      </c>
      <c r="R34" s="110">
        <v>0.1</v>
      </c>
      <c r="S34" s="111">
        <v>300</v>
      </c>
      <c r="T34" s="112">
        <v>18</v>
      </c>
      <c r="U34" s="114"/>
      <c r="V34" s="115"/>
      <c r="W34" s="115"/>
      <c r="X34" s="115"/>
    </row>
    <row r="35" spans="1:24" s="1" customFormat="1" ht="11.25" customHeight="1">
      <c r="A35" s="176" t="s">
        <v>50</v>
      </c>
      <c r="B35" s="177"/>
      <c r="C35" s="177"/>
      <c r="D35" s="178"/>
      <c r="E35" s="127"/>
      <c r="F35" s="71">
        <f aca="true" t="shared" si="9" ref="F35:T35">F33/F34</f>
        <v>0.5450074074074074</v>
      </c>
      <c r="G35" s="44">
        <f t="shared" si="9"/>
        <v>0.6677971014492753</v>
      </c>
      <c r="H35" s="44">
        <f t="shared" si="9"/>
        <v>0.5295839860748477</v>
      </c>
      <c r="I35" s="44">
        <f t="shared" si="9"/>
        <v>0.5735997549019608</v>
      </c>
      <c r="J35" s="44">
        <f t="shared" si="9"/>
        <v>0.7107142857142856</v>
      </c>
      <c r="K35" s="44">
        <f t="shared" si="9"/>
        <v>0.4370833333333333</v>
      </c>
      <c r="L35" s="44">
        <f t="shared" si="9"/>
        <v>0.8967619047619046</v>
      </c>
      <c r="M35" s="45">
        <f t="shared" si="9"/>
        <v>0.24148148148148146</v>
      </c>
      <c r="N35" s="45">
        <f t="shared" si="9"/>
        <v>0.8502500000000001</v>
      </c>
      <c r="O35" s="44">
        <f t="shared" si="9"/>
        <v>0.23639166666666667</v>
      </c>
      <c r="P35" s="44">
        <f t="shared" si="9"/>
        <v>0.6363594444444446</v>
      </c>
      <c r="Q35" s="44">
        <f t="shared" si="9"/>
        <v>0.5563485714285715</v>
      </c>
      <c r="R35" s="45">
        <f t="shared" si="9"/>
        <v>26.16086666666666</v>
      </c>
      <c r="S35" s="44">
        <f t="shared" si="9"/>
        <v>0.8563188888888889</v>
      </c>
      <c r="T35" s="45">
        <f t="shared" si="9"/>
        <v>0.8386296296296296</v>
      </c>
      <c r="U35" s="51"/>
      <c r="V35" s="52"/>
      <c r="W35" s="52"/>
      <c r="X35" s="52"/>
    </row>
    <row r="36" spans="1:24" s="1" customFormat="1" ht="11.25" customHeight="1">
      <c r="A36" s="54"/>
      <c r="B36" s="54"/>
      <c r="C36" s="128"/>
      <c r="D36" s="128"/>
      <c r="E36" s="128"/>
      <c r="F36" s="84"/>
      <c r="G36" s="104"/>
      <c r="H36" s="2"/>
      <c r="I36" s="2"/>
      <c r="J36" s="104"/>
      <c r="K36" s="104"/>
      <c r="L36" s="104"/>
      <c r="M36" s="195" t="s">
        <v>53</v>
      </c>
      <c r="N36" s="195"/>
      <c r="O36" s="195"/>
      <c r="P36" s="195"/>
      <c r="Q36" s="195"/>
      <c r="R36" s="195"/>
      <c r="S36" s="195"/>
      <c r="T36" s="195"/>
      <c r="U36" s="12"/>
      <c r="V36" s="19"/>
      <c r="W36" s="19"/>
      <c r="X36" s="19"/>
    </row>
    <row r="37" spans="1:25" s="1" customFormat="1" ht="11.25" customHeight="1">
      <c r="A37" s="188"/>
      <c r="B37" s="188"/>
      <c r="C37" s="188"/>
      <c r="D37" s="188"/>
      <c r="E37" s="188"/>
      <c r="F37" s="188"/>
      <c r="G37" s="188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3"/>
      <c r="V37" s="25"/>
      <c r="W37" s="25"/>
      <c r="X37" s="25"/>
      <c r="Y37" s="53"/>
    </row>
    <row r="38" spans="1:24" s="1" customFormat="1" ht="11.25" customHeight="1">
      <c r="A38" s="58" t="s">
        <v>42</v>
      </c>
      <c r="B38" s="54"/>
      <c r="C38" s="54"/>
      <c r="D38" s="2"/>
      <c r="E38" s="2"/>
      <c r="F38" s="105"/>
      <c r="G38" s="197" t="s">
        <v>31</v>
      </c>
      <c r="H38" s="197"/>
      <c r="I38" s="197"/>
      <c r="J38" s="104"/>
      <c r="K38" s="104"/>
      <c r="L38" s="193" t="s">
        <v>1</v>
      </c>
      <c r="M38" s="193"/>
      <c r="N38" s="189"/>
      <c r="O38" s="189"/>
      <c r="P38" s="189"/>
      <c r="Q38" s="189"/>
      <c r="R38" s="104"/>
      <c r="S38" s="104"/>
      <c r="T38" s="104"/>
      <c r="U38" s="14"/>
      <c r="V38" s="20"/>
      <c r="W38" s="20"/>
      <c r="X38" s="20"/>
    </row>
    <row r="39" spans="1:24" s="1" customFormat="1" ht="11.25" customHeight="1">
      <c r="A39" s="54"/>
      <c r="B39" s="54"/>
      <c r="C39" s="54"/>
      <c r="D39" s="193" t="s">
        <v>2</v>
      </c>
      <c r="E39" s="193"/>
      <c r="F39" s="193"/>
      <c r="G39" s="7">
        <v>1</v>
      </c>
      <c r="H39" s="104"/>
      <c r="I39" s="2"/>
      <c r="J39" s="2"/>
      <c r="K39" s="2"/>
      <c r="L39" s="193" t="s">
        <v>3</v>
      </c>
      <c r="M39" s="193"/>
      <c r="N39" s="197" t="s">
        <v>44</v>
      </c>
      <c r="O39" s="197"/>
      <c r="P39" s="197"/>
      <c r="Q39" s="197"/>
      <c r="R39" s="197"/>
      <c r="S39" s="197"/>
      <c r="T39" s="197"/>
      <c r="U39" s="15"/>
      <c r="V39" s="21"/>
      <c r="W39" s="21"/>
      <c r="X39" s="21"/>
    </row>
    <row r="40" spans="1:24" s="1" customFormat="1" ht="21.75" customHeight="1">
      <c r="A40" s="190" t="s">
        <v>4</v>
      </c>
      <c r="B40" s="198" t="s">
        <v>5</v>
      </c>
      <c r="C40" s="199"/>
      <c r="D40" s="190" t="s">
        <v>6</v>
      </c>
      <c r="E40" s="131"/>
      <c r="F40" s="183" t="s">
        <v>7</v>
      </c>
      <c r="G40" s="184"/>
      <c r="H40" s="185"/>
      <c r="I40" s="190" t="s">
        <v>8</v>
      </c>
      <c r="J40" s="183" t="s">
        <v>9</v>
      </c>
      <c r="K40" s="184"/>
      <c r="L40" s="184"/>
      <c r="M40" s="184"/>
      <c r="N40" s="185"/>
      <c r="O40" s="183" t="s">
        <v>10</v>
      </c>
      <c r="P40" s="184"/>
      <c r="Q40" s="184"/>
      <c r="R40" s="184"/>
      <c r="S40" s="184"/>
      <c r="T40" s="185"/>
      <c r="U40" s="9"/>
      <c r="V40" s="22"/>
      <c r="W40" s="22"/>
      <c r="X40" s="22"/>
    </row>
    <row r="41" spans="1:24" s="1" customFormat="1" ht="21" customHeight="1">
      <c r="A41" s="191"/>
      <c r="B41" s="200"/>
      <c r="C41" s="201"/>
      <c r="D41" s="191"/>
      <c r="E41" s="130"/>
      <c r="F41" s="82" t="s">
        <v>11</v>
      </c>
      <c r="G41" s="134" t="s">
        <v>12</v>
      </c>
      <c r="H41" s="134" t="s">
        <v>13</v>
      </c>
      <c r="I41" s="191"/>
      <c r="J41" s="134" t="s">
        <v>14</v>
      </c>
      <c r="K41" s="134" t="s">
        <v>45</v>
      </c>
      <c r="L41" s="134" t="s">
        <v>15</v>
      </c>
      <c r="M41" s="134" t="s">
        <v>16</v>
      </c>
      <c r="N41" s="134" t="s">
        <v>17</v>
      </c>
      <c r="O41" s="134" t="s">
        <v>18</v>
      </c>
      <c r="P41" s="134" t="s">
        <v>19</v>
      </c>
      <c r="Q41" s="134" t="s">
        <v>46</v>
      </c>
      <c r="R41" s="134" t="s">
        <v>47</v>
      </c>
      <c r="S41" s="134" t="s">
        <v>20</v>
      </c>
      <c r="T41" s="134" t="s">
        <v>21</v>
      </c>
      <c r="U41" s="9"/>
      <c r="V41" s="22"/>
      <c r="W41" s="22"/>
      <c r="X41" s="22"/>
    </row>
    <row r="42" spans="1:24" s="1" customFormat="1" ht="11.25" customHeight="1">
      <c r="A42" s="133">
        <v>1</v>
      </c>
      <c r="B42" s="179">
        <v>2</v>
      </c>
      <c r="C42" s="180"/>
      <c r="D42" s="37">
        <v>3</v>
      </c>
      <c r="E42" s="37"/>
      <c r="F42" s="83">
        <v>4</v>
      </c>
      <c r="G42" s="37">
        <v>5</v>
      </c>
      <c r="H42" s="37">
        <v>6</v>
      </c>
      <c r="I42" s="37">
        <v>7</v>
      </c>
      <c r="J42" s="37">
        <v>8</v>
      </c>
      <c r="K42" s="37">
        <v>9</v>
      </c>
      <c r="L42" s="37">
        <v>10</v>
      </c>
      <c r="M42" s="37">
        <v>11</v>
      </c>
      <c r="N42" s="37">
        <v>12</v>
      </c>
      <c r="O42" s="37">
        <v>13</v>
      </c>
      <c r="P42" s="37">
        <v>14</v>
      </c>
      <c r="Q42" s="37">
        <v>15</v>
      </c>
      <c r="R42" s="37">
        <v>16</v>
      </c>
      <c r="S42" s="37">
        <v>17</v>
      </c>
      <c r="T42" s="37">
        <v>18</v>
      </c>
      <c r="U42" s="10"/>
      <c r="V42" s="23"/>
      <c r="W42" s="23"/>
      <c r="X42" s="23"/>
    </row>
    <row r="43" spans="1:24" s="1" customFormat="1" ht="11.25" customHeight="1">
      <c r="A43" s="213" t="str">
        <f>A112</f>
        <v>Завтрак молочный</v>
      </c>
      <c r="B43" s="214"/>
      <c r="C43" s="214"/>
      <c r="D43" s="214"/>
      <c r="E43" s="214"/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5"/>
      <c r="U43" s="11"/>
      <c r="V43" s="24"/>
      <c r="W43" s="24"/>
      <c r="X43" s="24"/>
    </row>
    <row r="44" spans="1:24" s="104" customFormat="1" ht="11.25" customHeight="1">
      <c r="A44" s="94">
        <v>338</v>
      </c>
      <c r="B44" s="166" t="s">
        <v>99</v>
      </c>
      <c r="C44" s="166"/>
      <c r="D44" s="111">
        <v>150</v>
      </c>
      <c r="E44" s="112">
        <v>35.3</v>
      </c>
      <c r="F44" s="112">
        <v>0.4</v>
      </c>
      <c r="G44" s="112">
        <v>0.4</v>
      </c>
      <c r="H44" s="112">
        <v>9.8</v>
      </c>
      <c r="I44" s="112">
        <f>F44*4+G44*9+H44*4</f>
        <v>44.400000000000006</v>
      </c>
      <c r="J44" s="112">
        <v>0.04</v>
      </c>
      <c r="K44" s="112">
        <v>0.02</v>
      </c>
      <c r="L44" s="111">
        <v>10</v>
      </c>
      <c r="M44" s="111">
        <v>0.02</v>
      </c>
      <c r="N44" s="112">
        <v>0.2</v>
      </c>
      <c r="O44" s="112">
        <v>16</v>
      </c>
      <c r="P44" s="112">
        <v>11</v>
      </c>
      <c r="Q44" s="111">
        <v>0.03</v>
      </c>
      <c r="R44" s="111">
        <v>0.002</v>
      </c>
      <c r="S44" s="112">
        <v>9</v>
      </c>
      <c r="T44" s="112">
        <v>2.2</v>
      </c>
      <c r="U44" s="114"/>
      <c r="V44" s="28"/>
      <c r="W44" s="28"/>
      <c r="X44" s="29"/>
    </row>
    <row r="45" spans="1:24" s="104" customFormat="1" ht="21.75" customHeight="1">
      <c r="A45" s="117">
        <v>173</v>
      </c>
      <c r="B45" s="167" t="s">
        <v>96</v>
      </c>
      <c r="C45" s="168"/>
      <c r="D45" s="111">
        <v>200</v>
      </c>
      <c r="E45" s="112">
        <v>17.3</v>
      </c>
      <c r="F45" s="112">
        <v>7.23</v>
      </c>
      <c r="G45" s="112">
        <v>9.81</v>
      </c>
      <c r="H45" s="112">
        <v>28.8</v>
      </c>
      <c r="I45" s="112">
        <v>232.41</v>
      </c>
      <c r="J45" s="112">
        <v>0.22</v>
      </c>
      <c r="K45" s="112">
        <v>0.2</v>
      </c>
      <c r="L45" s="112">
        <v>1.3</v>
      </c>
      <c r="M45" s="113">
        <v>0.08</v>
      </c>
      <c r="N45" s="112">
        <v>0</v>
      </c>
      <c r="O45" s="110">
        <v>142.58</v>
      </c>
      <c r="P45" s="110">
        <v>222.38</v>
      </c>
      <c r="Q45" s="111">
        <v>0</v>
      </c>
      <c r="R45" s="110">
        <v>0.001</v>
      </c>
      <c r="S45" s="110">
        <v>65.69</v>
      </c>
      <c r="T45" s="112">
        <v>1.53</v>
      </c>
      <c r="U45" s="114"/>
      <c r="V45" s="115"/>
      <c r="W45" s="115"/>
      <c r="X45" s="115"/>
    </row>
    <row r="46" spans="1:24" s="104" customFormat="1" ht="11.25" customHeight="1">
      <c r="A46" s="133">
        <v>382</v>
      </c>
      <c r="B46" s="167" t="s">
        <v>71</v>
      </c>
      <c r="C46" s="168"/>
      <c r="D46" s="111">
        <v>200</v>
      </c>
      <c r="E46" s="112">
        <v>14.3</v>
      </c>
      <c r="F46" s="112">
        <f>3.5*D46/200</f>
        <v>3.5</v>
      </c>
      <c r="G46" s="112">
        <f>3.7*D46/200</f>
        <v>3.7</v>
      </c>
      <c r="H46" s="112">
        <f>25.5*D46/200</f>
        <v>25.5</v>
      </c>
      <c r="I46" s="112">
        <f>F46*4+G46*9+H46*4</f>
        <v>149.3</v>
      </c>
      <c r="J46" s="112">
        <f>0.06*D46/200</f>
        <v>0.06</v>
      </c>
      <c r="K46" s="112">
        <f>0.006*D46/200</f>
        <v>0.006</v>
      </c>
      <c r="L46" s="112">
        <f>1.6*D46/200</f>
        <v>1.6</v>
      </c>
      <c r="M46" s="113">
        <f>0.04*D46/200</f>
        <v>0.04</v>
      </c>
      <c r="N46" s="112">
        <f>0.4*D46/200</f>
        <v>0.4</v>
      </c>
      <c r="O46" s="112">
        <f>102.6*D46/200</f>
        <v>102.6</v>
      </c>
      <c r="P46" s="112">
        <f>178.4*D46/200</f>
        <v>178.4</v>
      </c>
      <c r="Q46" s="112">
        <f>1*D46/200</f>
        <v>1</v>
      </c>
      <c r="R46" s="113">
        <f>0.001*D46/200</f>
        <v>0.001</v>
      </c>
      <c r="S46" s="112">
        <f>24.8*D46/200</f>
        <v>24.8</v>
      </c>
      <c r="T46" s="112">
        <f>0.48*D46/200</f>
        <v>0.48</v>
      </c>
      <c r="U46" s="114"/>
      <c r="V46" s="115"/>
      <c r="W46" s="115"/>
      <c r="X46" s="115"/>
    </row>
    <row r="47" spans="1:24" s="104" customFormat="1" ht="12.75" customHeight="1">
      <c r="A47" s="117" t="s">
        <v>54</v>
      </c>
      <c r="B47" s="167" t="s">
        <v>40</v>
      </c>
      <c r="C47" s="168"/>
      <c r="D47" s="111">
        <v>40</v>
      </c>
      <c r="E47" s="112">
        <v>3.1</v>
      </c>
      <c r="F47" s="112">
        <f>1.52*D47/30</f>
        <v>2.0266666666666664</v>
      </c>
      <c r="G47" s="113">
        <f>0.16*D47/30</f>
        <v>0.21333333333333335</v>
      </c>
      <c r="H47" s="113">
        <f>9.84*D47/30</f>
        <v>13.120000000000001</v>
      </c>
      <c r="I47" s="113">
        <f>F47*4+G47*9+H47*4</f>
        <v>62.50666666666667</v>
      </c>
      <c r="J47" s="113">
        <f>0.02*D47/30</f>
        <v>0.02666666666666667</v>
      </c>
      <c r="K47" s="113">
        <f>0.01*D47/30</f>
        <v>0.013333333333333334</v>
      </c>
      <c r="L47" s="113">
        <f>0.44*D47/30</f>
        <v>0.5866666666666667</v>
      </c>
      <c r="M47" s="113">
        <v>0</v>
      </c>
      <c r="N47" s="113">
        <f>0.7*D47/30</f>
        <v>0.9333333333333333</v>
      </c>
      <c r="O47" s="113">
        <f>4*D47/30</f>
        <v>5.333333333333333</v>
      </c>
      <c r="P47" s="113">
        <f>13*D47/30</f>
        <v>17.333333333333332</v>
      </c>
      <c r="Q47" s="113">
        <f>0.008*D47/30</f>
        <v>0.010666666666666666</v>
      </c>
      <c r="R47" s="113">
        <f>0.001*D47/30</f>
        <v>0.0013333333333333333</v>
      </c>
      <c r="S47" s="113">
        <v>0</v>
      </c>
      <c r="T47" s="113">
        <f>0.22*D47/30</f>
        <v>0.29333333333333333</v>
      </c>
      <c r="U47" s="114"/>
      <c r="V47" s="115"/>
      <c r="W47" s="115"/>
      <c r="X47" s="115"/>
    </row>
    <row r="48" spans="1:20" s="100" customFormat="1" ht="12.75" customHeight="1">
      <c r="A48" s="143" t="s">
        <v>54</v>
      </c>
      <c r="B48" s="187" t="s">
        <v>95</v>
      </c>
      <c r="C48" s="187"/>
      <c r="D48" s="124">
        <v>40</v>
      </c>
      <c r="E48" s="101">
        <v>10</v>
      </c>
      <c r="F48" s="101">
        <v>0.4</v>
      </c>
      <c r="G48" s="101">
        <v>0.4</v>
      </c>
      <c r="H48" s="101">
        <v>9.8</v>
      </c>
      <c r="I48" s="101">
        <f>F48*4+G48*9+H48*4</f>
        <v>44.400000000000006</v>
      </c>
      <c r="J48" s="101">
        <v>0.04</v>
      </c>
      <c r="K48" s="101">
        <v>0.02</v>
      </c>
      <c r="L48" s="124">
        <v>10</v>
      </c>
      <c r="M48" s="124">
        <v>0.02</v>
      </c>
      <c r="N48" s="101">
        <v>0.2</v>
      </c>
      <c r="O48" s="101">
        <v>16</v>
      </c>
      <c r="P48" s="101">
        <v>11</v>
      </c>
      <c r="Q48" s="124">
        <v>0.03</v>
      </c>
      <c r="R48" s="124">
        <v>0.002</v>
      </c>
      <c r="S48" s="101">
        <v>9</v>
      </c>
      <c r="T48" s="101">
        <v>2.2</v>
      </c>
    </row>
    <row r="49" spans="1:24" s="104" customFormat="1" ht="14.25" customHeight="1">
      <c r="A49" s="63" t="str">
        <f>A119</f>
        <v>Итого за Завтрак молочный</v>
      </c>
      <c r="B49" s="64"/>
      <c r="C49" s="64"/>
      <c r="D49" s="65">
        <f>SUM(D44:D48)</f>
        <v>630</v>
      </c>
      <c r="E49" s="118">
        <f>SUM(E44:E48)</f>
        <v>79.99999999999999</v>
      </c>
      <c r="F49" s="39">
        <f>SUM(F44:F48)</f>
        <v>13.556666666666667</v>
      </c>
      <c r="G49" s="39">
        <f aca="true" t="shared" si="10" ref="G49:T49">SUM(G44:G48)</f>
        <v>14.523333333333333</v>
      </c>
      <c r="H49" s="39">
        <f t="shared" si="10"/>
        <v>87.02</v>
      </c>
      <c r="I49" s="39">
        <f t="shared" si="10"/>
        <v>533.0166666666667</v>
      </c>
      <c r="J49" s="39">
        <f t="shared" si="10"/>
        <v>0.38666666666666666</v>
      </c>
      <c r="K49" s="39">
        <f t="shared" si="10"/>
        <v>0.25933333333333336</v>
      </c>
      <c r="L49" s="39">
        <f t="shared" si="10"/>
        <v>23.486666666666665</v>
      </c>
      <c r="M49" s="39">
        <f t="shared" si="10"/>
        <v>0.16</v>
      </c>
      <c r="N49" s="39">
        <f t="shared" si="10"/>
        <v>1.7333333333333334</v>
      </c>
      <c r="O49" s="39">
        <f t="shared" si="10"/>
        <v>282.5133333333333</v>
      </c>
      <c r="P49" s="39">
        <f t="shared" si="10"/>
        <v>440.1133333333333</v>
      </c>
      <c r="Q49" s="39">
        <f t="shared" si="10"/>
        <v>1.0706666666666667</v>
      </c>
      <c r="R49" s="39">
        <f t="shared" si="10"/>
        <v>0.007333333333333333</v>
      </c>
      <c r="S49" s="39">
        <f t="shared" si="10"/>
        <v>108.49</v>
      </c>
      <c r="T49" s="39">
        <f t="shared" si="10"/>
        <v>6.703333333333334</v>
      </c>
      <c r="U49" s="38"/>
      <c r="V49" s="106"/>
      <c r="W49" s="106"/>
      <c r="X49" s="106"/>
    </row>
    <row r="50" spans="1:24" s="104" customFormat="1" ht="14.25" customHeight="1">
      <c r="A50" s="176" t="s">
        <v>50</v>
      </c>
      <c r="B50" s="177"/>
      <c r="C50" s="177"/>
      <c r="D50" s="178"/>
      <c r="E50" s="127"/>
      <c r="F50" s="71">
        <f aca="true" t="shared" si="11" ref="F50:T50">F49/F68</f>
        <v>0.15062962962962964</v>
      </c>
      <c r="G50" s="71">
        <f t="shared" si="11"/>
        <v>0.15786231884057972</v>
      </c>
      <c r="H50" s="71">
        <f t="shared" si="11"/>
        <v>0.22720626631853785</v>
      </c>
      <c r="I50" s="71">
        <f t="shared" si="11"/>
        <v>0.19596200980392156</v>
      </c>
      <c r="J50" s="71">
        <f t="shared" si="11"/>
        <v>0.2761904761904762</v>
      </c>
      <c r="K50" s="71">
        <f t="shared" si="11"/>
        <v>0.16208333333333333</v>
      </c>
      <c r="L50" s="71">
        <f t="shared" si="11"/>
        <v>0.3355238095238095</v>
      </c>
      <c r="M50" s="71">
        <f t="shared" si="11"/>
        <v>0.17777777777777778</v>
      </c>
      <c r="N50" s="71">
        <f t="shared" si="11"/>
        <v>0.14444444444444446</v>
      </c>
      <c r="O50" s="44">
        <f t="shared" si="11"/>
        <v>0.23542777777777776</v>
      </c>
      <c r="P50" s="71">
        <f t="shared" si="11"/>
        <v>0.3667611111111111</v>
      </c>
      <c r="Q50" s="71">
        <f t="shared" si="11"/>
        <v>0.07647619047619048</v>
      </c>
      <c r="R50" s="71">
        <f t="shared" si="11"/>
        <v>0.07333333333333333</v>
      </c>
      <c r="S50" s="71">
        <f t="shared" si="11"/>
        <v>0.3616333333333333</v>
      </c>
      <c r="T50" s="44">
        <f t="shared" si="11"/>
        <v>0.37240740740740746</v>
      </c>
      <c r="U50" s="108"/>
      <c r="V50" s="106"/>
      <c r="W50" s="106"/>
      <c r="X50" s="106"/>
    </row>
    <row r="51" spans="1:24" s="104" customFormat="1" ht="11.25" customHeight="1">
      <c r="A51" s="206" t="s">
        <v>27</v>
      </c>
      <c r="B51" s="207"/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8"/>
      <c r="U51" s="11"/>
      <c r="V51" s="24"/>
      <c r="W51" s="24"/>
      <c r="X51" s="24"/>
    </row>
    <row r="52" spans="1:24" s="104" customFormat="1" ht="13.5" customHeight="1">
      <c r="A52" s="117">
        <v>52</v>
      </c>
      <c r="B52" s="167" t="s">
        <v>41</v>
      </c>
      <c r="C52" s="168"/>
      <c r="D52" s="111">
        <v>100</v>
      </c>
      <c r="E52" s="112">
        <v>8.32</v>
      </c>
      <c r="F52" s="112">
        <f>0.86*D52/60</f>
        <v>1.4333333333333333</v>
      </c>
      <c r="G52" s="112">
        <f>3.05*D52/60</f>
        <v>5.083333333333333</v>
      </c>
      <c r="H52" s="112">
        <f>5.13*D52/60</f>
        <v>8.55</v>
      </c>
      <c r="I52" s="112">
        <f>F52*4+G52*9+H52*4</f>
        <v>85.68333333333334</v>
      </c>
      <c r="J52" s="112">
        <f>0.01*D52/60</f>
        <v>0.016666666666666666</v>
      </c>
      <c r="K52" s="112">
        <f>0.02*D52/60</f>
        <v>0.03333333333333333</v>
      </c>
      <c r="L52" s="110">
        <f>5.7*D52/60</f>
        <v>9.5</v>
      </c>
      <c r="M52" s="112">
        <f>0.01*D52/60</f>
        <v>0.016666666666666666</v>
      </c>
      <c r="N52" s="112">
        <f>0.1*D52/60</f>
        <v>0.16666666666666666</v>
      </c>
      <c r="O52" s="112">
        <f>26.61*D52/60</f>
        <v>44.35</v>
      </c>
      <c r="P52" s="112">
        <f>25.64*D52/60</f>
        <v>42.733333333333334</v>
      </c>
      <c r="Q52" s="112">
        <f>0.43*D52/60</f>
        <v>0.7166666666666667</v>
      </c>
      <c r="R52" s="113">
        <f>0.01*D52/60</f>
        <v>0.016666666666666666</v>
      </c>
      <c r="S52" s="110">
        <f>12.87*D52/60</f>
        <v>21.45</v>
      </c>
      <c r="T52" s="112">
        <f>0.84*D52/60</f>
        <v>1.4</v>
      </c>
      <c r="U52" s="114"/>
      <c r="V52" s="115"/>
      <c r="W52" s="115"/>
      <c r="X52" s="115"/>
    </row>
    <row r="53" spans="1:24" s="104" customFormat="1" ht="22.5" customHeight="1">
      <c r="A53" s="133">
        <v>82</v>
      </c>
      <c r="B53" s="167" t="s">
        <v>76</v>
      </c>
      <c r="C53" s="168"/>
      <c r="D53" s="109">
        <v>250</v>
      </c>
      <c r="E53" s="109">
        <v>13.62</v>
      </c>
      <c r="F53" s="112">
        <v>2.43</v>
      </c>
      <c r="G53" s="112">
        <v>3.12</v>
      </c>
      <c r="H53" s="112">
        <v>12.01</v>
      </c>
      <c r="I53" s="112">
        <f aca="true" t="shared" si="12" ref="I53:I59">F53*4+G53*9+H53*4</f>
        <v>85.84</v>
      </c>
      <c r="J53" s="109">
        <v>0.064</v>
      </c>
      <c r="K53" s="109">
        <v>0.064</v>
      </c>
      <c r="L53" s="112">
        <v>20.98</v>
      </c>
      <c r="M53" s="113">
        <v>0.076</v>
      </c>
      <c r="N53" s="112">
        <v>0.257</v>
      </c>
      <c r="O53" s="112">
        <v>49.59</v>
      </c>
      <c r="P53" s="112">
        <v>58.68</v>
      </c>
      <c r="Q53" s="112">
        <v>0.746</v>
      </c>
      <c r="R53" s="113">
        <v>0.011</v>
      </c>
      <c r="S53" s="112">
        <v>25.43</v>
      </c>
      <c r="T53" s="112">
        <v>1.32</v>
      </c>
      <c r="U53" s="114"/>
      <c r="V53" s="115"/>
      <c r="W53" s="115"/>
      <c r="X53" s="115"/>
    </row>
    <row r="54" spans="1:24" s="104" customFormat="1" ht="21.75" customHeight="1">
      <c r="A54" s="67">
        <v>268</v>
      </c>
      <c r="B54" s="167" t="s">
        <v>73</v>
      </c>
      <c r="C54" s="168"/>
      <c r="D54" s="73">
        <v>90</v>
      </c>
      <c r="E54" s="73">
        <v>44.79</v>
      </c>
      <c r="F54" s="125">
        <f>14.8*D54/80</f>
        <v>16.65</v>
      </c>
      <c r="G54" s="125">
        <f>20.69*D54/80</f>
        <v>23.27625</v>
      </c>
      <c r="H54" s="125">
        <f>3.81*D54/80</f>
        <v>4.28625</v>
      </c>
      <c r="I54" s="125">
        <f t="shared" si="12"/>
        <v>293.23125</v>
      </c>
      <c r="J54" s="74">
        <f>0.18*D54/80</f>
        <v>0.20249999999999999</v>
      </c>
      <c r="K54" s="125">
        <f>0.12*D54/80</f>
        <v>0.13499999999999998</v>
      </c>
      <c r="L54" s="125">
        <f>0.43*D54/80</f>
        <v>0.48375</v>
      </c>
      <c r="M54" s="74">
        <v>0.099</v>
      </c>
      <c r="N54" s="74">
        <f>0.01*D54/80</f>
        <v>0.01125</v>
      </c>
      <c r="O54" s="125">
        <f>48.45*D54/80</f>
        <v>54.50625</v>
      </c>
      <c r="P54" s="125">
        <f>177.9*D54/80</f>
        <v>200.1375</v>
      </c>
      <c r="Q54" s="74">
        <f>2.28*D54/80</f>
        <v>2.565</v>
      </c>
      <c r="R54" s="74">
        <f>0.04*D54/80</f>
        <v>0.045</v>
      </c>
      <c r="S54" s="125">
        <f>24.45*D54/80</f>
        <v>27.50625</v>
      </c>
      <c r="T54" s="125">
        <f>1.93*D54/80</f>
        <v>2.1712499999999997</v>
      </c>
      <c r="U54" s="32"/>
      <c r="V54" s="33"/>
      <c r="W54" s="33"/>
      <c r="X54" s="33"/>
    </row>
    <row r="55" spans="1:24" s="104" customFormat="1" ht="19.5" customHeight="1">
      <c r="A55" s="133">
        <v>304</v>
      </c>
      <c r="B55" s="166" t="s">
        <v>77</v>
      </c>
      <c r="C55" s="166"/>
      <c r="D55" s="111">
        <v>180</v>
      </c>
      <c r="E55" s="112">
        <v>8.2</v>
      </c>
      <c r="F55" s="112">
        <v>4.44</v>
      </c>
      <c r="G55" s="112">
        <v>6.44</v>
      </c>
      <c r="H55" s="112">
        <v>44.01</v>
      </c>
      <c r="I55" s="112">
        <v>251.82</v>
      </c>
      <c r="J55" s="112">
        <v>0.036</v>
      </c>
      <c r="K55" s="109">
        <v>0.024</v>
      </c>
      <c r="L55" s="112">
        <v>0</v>
      </c>
      <c r="M55" s="109">
        <v>0.048</v>
      </c>
      <c r="N55" s="110">
        <v>0</v>
      </c>
      <c r="O55" s="110">
        <v>17.93</v>
      </c>
      <c r="P55" s="111">
        <v>95.25</v>
      </c>
      <c r="Q55" s="116">
        <v>0</v>
      </c>
      <c r="R55" s="110">
        <v>0.001</v>
      </c>
      <c r="S55" s="112">
        <v>33.47</v>
      </c>
      <c r="T55" s="114">
        <v>0.708</v>
      </c>
      <c r="U55" s="115"/>
      <c r="V55" s="115"/>
      <c r="W55" s="115"/>
      <c r="X55" s="115"/>
    </row>
    <row r="56" spans="1:24" s="104" customFormat="1" ht="21.75" customHeight="1">
      <c r="A56" s="117">
        <v>349</v>
      </c>
      <c r="B56" s="167" t="s">
        <v>75</v>
      </c>
      <c r="C56" s="168"/>
      <c r="D56" s="111">
        <v>200</v>
      </c>
      <c r="E56" s="112">
        <v>4.73</v>
      </c>
      <c r="F56" s="112">
        <v>0.22</v>
      </c>
      <c r="G56" s="109">
        <v>0</v>
      </c>
      <c r="H56" s="112">
        <v>24.42</v>
      </c>
      <c r="I56" s="112">
        <f>F56*4+G56*9+H56*4</f>
        <v>98.56</v>
      </c>
      <c r="J56" s="109">
        <v>0</v>
      </c>
      <c r="K56" s="109">
        <v>0</v>
      </c>
      <c r="L56" s="112">
        <v>26.11</v>
      </c>
      <c r="M56" s="109">
        <v>0</v>
      </c>
      <c r="N56" s="109">
        <v>0</v>
      </c>
      <c r="O56" s="110">
        <v>22.6</v>
      </c>
      <c r="P56" s="110">
        <v>7.7</v>
      </c>
      <c r="Q56" s="111">
        <v>0</v>
      </c>
      <c r="R56" s="111">
        <v>0</v>
      </c>
      <c r="S56" s="110">
        <v>3</v>
      </c>
      <c r="T56" s="112">
        <v>0.66</v>
      </c>
      <c r="U56" s="114"/>
      <c r="V56" s="115"/>
      <c r="W56" s="115"/>
      <c r="X56" s="115"/>
    </row>
    <row r="57" spans="1:20" s="100" customFormat="1" ht="12.75" customHeight="1">
      <c r="A57" s="143" t="s">
        <v>54</v>
      </c>
      <c r="B57" s="187" t="s">
        <v>94</v>
      </c>
      <c r="C57" s="187"/>
      <c r="D57" s="124">
        <v>10</v>
      </c>
      <c r="E57" s="101">
        <v>5.2</v>
      </c>
      <c r="F57" s="101">
        <v>0.4</v>
      </c>
      <c r="G57" s="101">
        <v>0.4</v>
      </c>
      <c r="H57" s="101">
        <v>9.8</v>
      </c>
      <c r="I57" s="101">
        <f>F57*4+G57*9+H57*4</f>
        <v>44.400000000000006</v>
      </c>
      <c r="J57" s="101">
        <v>0.04</v>
      </c>
      <c r="K57" s="101">
        <v>0.02</v>
      </c>
      <c r="L57" s="124">
        <v>10</v>
      </c>
      <c r="M57" s="124">
        <v>0.02</v>
      </c>
      <c r="N57" s="101">
        <v>0.2</v>
      </c>
      <c r="O57" s="101">
        <v>16</v>
      </c>
      <c r="P57" s="101">
        <v>11</v>
      </c>
      <c r="Q57" s="124">
        <v>0.03</v>
      </c>
      <c r="R57" s="124">
        <v>0.002</v>
      </c>
      <c r="S57" s="101">
        <v>9</v>
      </c>
      <c r="T57" s="101">
        <v>2.2</v>
      </c>
    </row>
    <row r="58" spans="1:24" s="104" customFormat="1" ht="11.25" customHeight="1">
      <c r="A58" s="72" t="s">
        <v>54</v>
      </c>
      <c r="B58" s="167" t="s">
        <v>35</v>
      </c>
      <c r="C58" s="168"/>
      <c r="D58" s="111">
        <v>40</v>
      </c>
      <c r="E58" s="112">
        <v>2.04</v>
      </c>
      <c r="F58" s="112">
        <f>2.64*D58/40</f>
        <v>2.64</v>
      </c>
      <c r="G58" s="112">
        <f>0.48*D58/40</f>
        <v>0.48</v>
      </c>
      <c r="H58" s="112">
        <f>13.68*D58/40</f>
        <v>13.680000000000001</v>
      </c>
      <c r="I58" s="112">
        <f t="shared" si="12"/>
        <v>69.60000000000001</v>
      </c>
      <c r="J58" s="109">
        <f>0.08*D58/40</f>
        <v>0.08</v>
      </c>
      <c r="K58" s="112">
        <f>0.04*D58/40</f>
        <v>0.04</v>
      </c>
      <c r="L58" s="111">
        <v>0</v>
      </c>
      <c r="M58" s="111">
        <v>0</v>
      </c>
      <c r="N58" s="112">
        <f>2.4*D58/40</f>
        <v>2.4</v>
      </c>
      <c r="O58" s="112">
        <f>14*D58/40</f>
        <v>14</v>
      </c>
      <c r="P58" s="112">
        <f>63.2*D58/40</f>
        <v>63.2</v>
      </c>
      <c r="Q58" s="112">
        <f>1.2*D58/40</f>
        <v>1.2</v>
      </c>
      <c r="R58" s="113">
        <f>0.001*D58/40</f>
        <v>0.001</v>
      </c>
      <c r="S58" s="112">
        <f>9.4*D58/40</f>
        <v>9.4</v>
      </c>
      <c r="T58" s="109">
        <f>0.78*D58/40</f>
        <v>0.78</v>
      </c>
      <c r="U58" s="30"/>
      <c r="V58" s="31"/>
      <c r="W58" s="31"/>
      <c r="X58" s="31"/>
    </row>
    <row r="59" spans="1:24" s="104" customFormat="1" ht="11.25" customHeight="1">
      <c r="A59" s="117" t="s">
        <v>54</v>
      </c>
      <c r="B59" s="167" t="s">
        <v>40</v>
      </c>
      <c r="C59" s="168"/>
      <c r="D59" s="111">
        <v>40</v>
      </c>
      <c r="E59" s="112">
        <v>3.1</v>
      </c>
      <c r="F59" s="112">
        <f>1.52*D59/30</f>
        <v>2.0266666666666664</v>
      </c>
      <c r="G59" s="113">
        <f>0.16*D59/30</f>
        <v>0.21333333333333335</v>
      </c>
      <c r="H59" s="113">
        <f>9.84*D59/30</f>
        <v>13.120000000000001</v>
      </c>
      <c r="I59" s="113">
        <f t="shared" si="12"/>
        <v>62.50666666666667</v>
      </c>
      <c r="J59" s="113">
        <f>0.02*D59/30</f>
        <v>0.02666666666666667</v>
      </c>
      <c r="K59" s="113">
        <f>0.01*D59/30</f>
        <v>0.013333333333333334</v>
      </c>
      <c r="L59" s="113">
        <f>0.44*D59/30</f>
        <v>0.5866666666666667</v>
      </c>
      <c r="M59" s="113">
        <v>0</v>
      </c>
      <c r="N59" s="113">
        <f>0.7*D59/30</f>
        <v>0.9333333333333333</v>
      </c>
      <c r="O59" s="113">
        <f>4*D59/30</f>
        <v>5.333333333333333</v>
      </c>
      <c r="P59" s="113">
        <f>13*D59/30</f>
        <v>17.333333333333332</v>
      </c>
      <c r="Q59" s="113">
        <f>0.008*D59/30</f>
        <v>0.010666666666666666</v>
      </c>
      <c r="R59" s="113">
        <f>0.001*D59/30</f>
        <v>0.0013333333333333333</v>
      </c>
      <c r="S59" s="113">
        <v>0</v>
      </c>
      <c r="T59" s="113">
        <f>0.22*D59/30</f>
        <v>0.29333333333333333</v>
      </c>
      <c r="U59" s="114"/>
      <c r="V59" s="115"/>
      <c r="W59" s="115"/>
      <c r="X59" s="115"/>
    </row>
    <row r="60" spans="1:24" s="104" customFormat="1" ht="11.25" customHeight="1">
      <c r="A60" s="61" t="s">
        <v>28</v>
      </c>
      <c r="B60" s="62"/>
      <c r="C60" s="62"/>
      <c r="D60" s="65">
        <f aca="true" t="shared" si="13" ref="D60:I60">SUM(D52:D59)</f>
        <v>910</v>
      </c>
      <c r="E60" s="118">
        <f t="shared" si="13"/>
        <v>90</v>
      </c>
      <c r="F60" s="39">
        <f t="shared" si="13"/>
        <v>30.24</v>
      </c>
      <c r="G60" s="38">
        <f t="shared" si="13"/>
        <v>39.01291666666666</v>
      </c>
      <c r="H60" s="38">
        <f t="shared" si="13"/>
        <v>129.87625</v>
      </c>
      <c r="I60" s="38">
        <f t="shared" si="13"/>
        <v>991.6412499999999</v>
      </c>
      <c r="J60" s="39">
        <f aca="true" t="shared" si="14" ref="J60:S60">SUM(J52:J59)</f>
        <v>0.4658333333333333</v>
      </c>
      <c r="K60" s="39">
        <f t="shared" si="14"/>
        <v>0.3296666666666666</v>
      </c>
      <c r="L60" s="38">
        <f t="shared" si="14"/>
        <v>67.66041666666668</v>
      </c>
      <c r="M60" s="39">
        <f t="shared" si="14"/>
        <v>0.25966666666666666</v>
      </c>
      <c r="N60" s="43">
        <f t="shared" si="14"/>
        <v>3.9682500000000003</v>
      </c>
      <c r="O60" s="38">
        <f t="shared" si="14"/>
        <v>224.30958333333334</v>
      </c>
      <c r="P60" s="39">
        <f t="shared" si="14"/>
        <v>496.03416666666664</v>
      </c>
      <c r="Q60" s="38">
        <f t="shared" si="14"/>
        <v>5.2683333333333335</v>
      </c>
      <c r="R60" s="40">
        <f t="shared" si="14"/>
        <v>0.078</v>
      </c>
      <c r="S60" s="49">
        <f t="shared" si="14"/>
        <v>129.25625</v>
      </c>
      <c r="T60" s="39">
        <f>SUM(T52:T59)</f>
        <v>9.532583333333333</v>
      </c>
      <c r="U60" s="38"/>
      <c r="V60" s="106"/>
      <c r="W60" s="106"/>
      <c r="X60" s="106"/>
    </row>
    <row r="61" spans="1:24" s="104" customFormat="1" ht="11.25" customHeight="1">
      <c r="A61" s="176" t="s">
        <v>50</v>
      </c>
      <c r="B61" s="177"/>
      <c r="C61" s="177"/>
      <c r="D61" s="178"/>
      <c r="E61" s="126"/>
      <c r="F61" s="119">
        <f aca="true" t="shared" si="15" ref="F61:T61">F60/F68</f>
        <v>0.33599999999999997</v>
      </c>
      <c r="G61" s="71">
        <f t="shared" si="15"/>
        <v>0.4240534420289855</v>
      </c>
      <c r="H61" s="71">
        <f t="shared" si="15"/>
        <v>0.3391024804177546</v>
      </c>
      <c r="I61" s="71">
        <f t="shared" si="15"/>
        <v>0.3645739889705882</v>
      </c>
      <c r="J61" s="71">
        <f t="shared" si="15"/>
        <v>0.3327380952380953</v>
      </c>
      <c r="K61" s="71">
        <f t="shared" si="15"/>
        <v>0.20604166666666662</v>
      </c>
      <c r="L61" s="71">
        <f t="shared" si="15"/>
        <v>0.9665773809523811</v>
      </c>
      <c r="M61" s="71">
        <f t="shared" si="15"/>
        <v>0.2885185185185185</v>
      </c>
      <c r="N61" s="71">
        <f t="shared" si="15"/>
        <v>0.3306875</v>
      </c>
      <c r="O61" s="44">
        <f t="shared" si="15"/>
        <v>0.18692465277777778</v>
      </c>
      <c r="P61" s="71">
        <f t="shared" si="15"/>
        <v>0.4133618055555555</v>
      </c>
      <c r="Q61" s="71">
        <f t="shared" si="15"/>
        <v>0.3763095238095238</v>
      </c>
      <c r="R61" s="71">
        <f t="shared" si="15"/>
        <v>0.7799999999999999</v>
      </c>
      <c r="S61" s="71">
        <f t="shared" si="15"/>
        <v>0.43085416666666665</v>
      </c>
      <c r="T61" s="44">
        <f t="shared" si="15"/>
        <v>0.529587962962963</v>
      </c>
      <c r="U61" s="108"/>
      <c r="V61" s="106"/>
      <c r="W61" s="106"/>
      <c r="X61" s="106"/>
    </row>
    <row r="62" spans="1:24" s="104" customFormat="1" ht="11.25" customHeight="1">
      <c r="A62" s="206" t="s">
        <v>29</v>
      </c>
      <c r="B62" s="207"/>
      <c r="C62" s="207"/>
      <c r="D62" s="207"/>
      <c r="E62" s="207"/>
      <c r="F62" s="207"/>
      <c r="G62" s="207"/>
      <c r="H62" s="207"/>
      <c r="I62" s="207"/>
      <c r="J62" s="207"/>
      <c r="K62" s="207"/>
      <c r="L62" s="207"/>
      <c r="M62" s="207"/>
      <c r="N62" s="207"/>
      <c r="O62" s="207"/>
      <c r="P62" s="207"/>
      <c r="Q62" s="207"/>
      <c r="R62" s="207"/>
      <c r="S62" s="207"/>
      <c r="T62" s="208"/>
      <c r="U62" s="11"/>
      <c r="V62" s="24"/>
      <c r="W62" s="24"/>
      <c r="X62" s="24"/>
    </row>
    <row r="63" spans="1:20" s="100" customFormat="1" ht="11.25" customHeight="1">
      <c r="A63" s="149"/>
      <c r="B63" s="187"/>
      <c r="C63" s="187"/>
      <c r="D63" s="124"/>
      <c r="E63" s="101"/>
      <c r="F63" s="101"/>
      <c r="G63" s="152"/>
      <c r="H63" s="152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</row>
    <row r="64" spans="1:20" s="100" customFormat="1" ht="12.75" customHeight="1">
      <c r="A64" s="153"/>
      <c r="B64" s="212"/>
      <c r="C64" s="212"/>
      <c r="D64" s="154"/>
      <c r="E64" s="155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  <c r="R64" s="142"/>
      <c r="S64" s="142"/>
      <c r="T64" s="142"/>
    </row>
    <row r="65" spans="1:24" s="1" customFormat="1" ht="11.25" customHeight="1">
      <c r="A65" s="61" t="s">
        <v>30</v>
      </c>
      <c r="B65" s="62"/>
      <c r="C65" s="62"/>
      <c r="D65" s="65">
        <f aca="true" t="shared" si="16" ref="D65:I65">SUM(D63:D64)</f>
        <v>0</v>
      </c>
      <c r="E65" s="118">
        <f t="shared" si="16"/>
        <v>0</v>
      </c>
      <c r="F65" s="39">
        <f t="shared" si="16"/>
        <v>0</v>
      </c>
      <c r="G65" s="38">
        <f t="shared" si="16"/>
        <v>0</v>
      </c>
      <c r="H65" s="38">
        <f t="shared" si="16"/>
        <v>0</v>
      </c>
      <c r="I65" s="38">
        <f t="shared" si="16"/>
        <v>0</v>
      </c>
      <c r="J65" s="39">
        <f aca="true" t="shared" si="17" ref="J65:T65">SUM(J63:J64)</f>
        <v>0</v>
      </c>
      <c r="K65" s="39">
        <f t="shared" si="17"/>
        <v>0</v>
      </c>
      <c r="L65" s="38">
        <f t="shared" si="17"/>
        <v>0</v>
      </c>
      <c r="M65" s="39">
        <f t="shared" si="17"/>
        <v>0</v>
      </c>
      <c r="N65" s="38">
        <f t="shared" si="17"/>
        <v>0</v>
      </c>
      <c r="O65" s="38">
        <f t="shared" si="17"/>
        <v>0</v>
      </c>
      <c r="P65" s="38">
        <f t="shared" si="17"/>
        <v>0</v>
      </c>
      <c r="Q65" s="38">
        <f t="shared" si="17"/>
        <v>0</v>
      </c>
      <c r="R65" s="40">
        <f t="shared" si="17"/>
        <v>0</v>
      </c>
      <c r="S65" s="38">
        <f t="shared" si="17"/>
        <v>0</v>
      </c>
      <c r="T65" s="39">
        <f t="shared" si="17"/>
        <v>0</v>
      </c>
      <c r="U65" s="38"/>
      <c r="V65" s="106"/>
      <c r="W65" s="106"/>
      <c r="X65" s="106"/>
    </row>
    <row r="66" spans="1:24" s="1" customFormat="1" ht="11.25" customHeight="1">
      <c r="A66" s="176" t="s">
        <v>50</v>
      </c>
      <c r="B66" s="177"/>
      <c r="C66" s="177"/>
      <c r="D66" s="178"/>
      <c r="E66" s="127"/>
      <c r="F66" s="71">
        <f>F65/F68</f>
        <v>0</v>
      </c>
      <c r="G66" s="71">
        <f aca="true" t="shared" si="18" ref="G66:T66">G65/G68</f>
        <v>0</v>
      </c>
      <c r="H66" s="71">
        <f t="shared" si="18"/>
        <v>0</v>
      </c>
      <c r="I66" s="71">
        <f t="shared" si="18"/>
        <v>0</v>
      </c>
      <c r="J66" s="71">
        <f t="shared" si="18"/>
        <v>0</v>
      </c>
      <c r="K66" s="71">
        <f t="shared" si="18"/>
        <v>0</v>
      </c>
      <c r="L66" s="71">
        <f t="shared" si="18"/>
        <v>0</v>
      </c>
      <c r="M66" s="71">
        <f t="shared" si="18"/>
        <v>0</v>
      </c>
      <c r="N66" s="71">
        <f t="shared" si="18"/>
        <v>0</v>
      </c>
      <c r="O66" s="71">
        <f t="shared" si="18"/>
        <v>0</v>
      </c>
      <c r="P66" s="71">
        <f t="shared" si="18"/>
        <v>0</v>
      </c>
      <c r="Q66" s="71">
        <f t="shared" si="18"/>
        <v>0</v>
      </c>
      <c r="R66" s="71">
        <f t="shared" si="18"/>
        <v>0</v>
      </c>
      <c r="S66" s="71">
        <f t="shared" si="18"/>
        <v>0</v>
      </c>
      <c r="T66" s="44">
        <f t="shared" si="18"/>
        <v>0</v>
      </c>
      <c r="U66" s="108"/>
      <c r="V66" s="106"/>
      <c r="W66" s="106"/>
      <c r="X66" s="106"/>
    </row>
    <row r="67" spans="1:24" s="1" customFormat="1" ht="11.25" customHeight="1">
      <c r="A67" s="61" t="s">
        <v>49</v>
      </c>
      <c r="B67" s="62"/>
      <c r="C67" s="62"/>
      <c r="D67" s="89">
        <f>D49+D60</f>
        <v>1540</v>
      </c>
      <c r="E67" s="136">
        <f>E60+E49</f>
        <v>170</v>
      </c>
      <c r="F67" s="39">
        <f aca="true" t="shared" si="19" ref="F67:T67">SUM(F49,F60,F65)</f>
        <v>43.79666666666667</v>
      </c>
      <c r="G67" s="38">
        <f t="shared" si="19"/>
        <v>53.536249999999995</v>
      </c>
      <c r="H67" s="38">
        <f t="shared" si="19"/>
        <v>216.89625</v>
      </c>
      <c r="I67" s="38">
        <f t="shared" si="19"/>
        <v>1524.6579166666666</v>
      </c>
      <c r="J67" s="39">
        <f t="shared" si="19"/>
        <v>0.8525</v>
      </c>
      <c r="K67" s="39">
        <f t="shared" si="19"/>
        <v>0.589</v>
      </c>
      <c r="L67" s="49">
        <f t="shared" si="19"/>
        <v>91.14708333333334</v>
      </c>
      <c r="M67" s="39">
        <f t="shared" si="19"/>
        <v>0.41966666666666663</v>
      </c>
      <c r="N67" s="49">
        <f t="shared" si="19"/>
        <v>5.701583333333334</v>
      </c>
      <c r="O67" s="38">
        <f t="shared" si="19"/>
        <v>506.82291666666663</v>
      </c>
      <c r="P67" s="38">
        <f t="shared" si="19"/>
        <v>936.1474999999999</v>
      </c>
      <c r="Q67" s="38">
        <f t="shared" si="19"/>
        <v>6.339</v>
      </c>
      <c r="R67" s="40">
        <f t="shared" si="19"/>
        <v>0.08533333333333333</v>
      </c>
      <c r="S67" s="39">
        <f t="shared" si="19"/>
        <v>237.74624999999997</v>
      </c>
      <c r="T67" s="39">
        <f t="shared" si="19"/>
        <v>16.235916666666668</v>
      </c>
      <c r="U67" s="42"/>
      <c r="V67" s="106"/>
      <c r="W67" s="106"/>
      <c r="X67" s="106"/>
    </row>
    <row r="68" spans="1:24" s="1" customFormat="1" ht="11.25" customHeight="1">
      <c r="A68" s="169" t="s">
        <v>51</v>
      </c>
      <c r="B68" s="170"/>
      <c r="C68" s="170"/>
      <c r="D68" s="171"/>
      <c r="E68" s="132"/>
      <c r="F68" s="112">
        <v>90</v>
      </c>
      <c r="G68" s="110">
        <v>92</v>
      </c>
      <c r="H68" s="110">
        <v>383</v>
      </c>
      <c r="I68" s="110">
        <v>2720</v>
      </c>
      <c r="J68" s="112">
        <v>1.4</v>
      </c>
      <c r="K68" s="112">
        <v>1.6</v>
      </c>
      <c r="L68" s="111">
        <v>70</v>
      </c>
      <c r="M68" s="112">
        <v>0.9</v>
      </c>
      <c r="N68" s="111">
        <v>12</v>
      </c>
      <c r="O68" s="111">
        <v>1200</v>
      </c>
      <c r="P68" s="111">
        <v>1200</v>
      </c>
      <c r="Q68" s="111">
        <v>14</v>
      </c>
      <c r="R68" s="110">
        <v>0.1</v>
      </c>
      <c r="S68" s="111">
        <v>300</v>
      </c>
      <c r="T68" s="112">
        <v>18</v>
      </c>
      <c r="U68" s="114"/>
      <c r="V68" s="115"/>
      <c r="W68" s="115"/>
      <c r="X68" s="115"/>
    </row>
    <row r="69" spans="1:24" s="8" customFormat="1" ht="11.25" customHeight="1">
      <c r="A69" s="176" t="s">
        <v>50</v>
      </c>
      <c r="B69" s="177"/>
      <c r="C69" s="177"/>
      <c r="D69" s="178"/>
      <c r="E69" s="127"/>
      <c r="F69" s="71">
        <f aca="true" t="shared" si="20" ref="F69:T69">F67/F68</f>
        <v>0.48662962962962963</v>
      </c>
      <c r="G69" s="44">
        <f t="shared" si="20"/>
        <v>0.5819157608695652</v>
      </c>
      <c r="H69" s="44">
        <f t="shared" si="20"/>
        <v>0.5663087467362925</v>
      </c>
      <c r="I69" s="44">
        <f t="shared" si="20"/>
        <v>0.5605359987745098</v>
      </c>
      <c r="J69" s="44">
        <f t="shared" si="20"/>
        <v>0.6089285714285715</v>
      </c>
      <c r="K69" s="44">
        <f t="shared" si="20"/>
        <v>0.368125</v>
      </c>
      <c r="L69" s="44">
        <f t="shared" si="20"/>
        <v>1.3021011904761906</v>
      </c>
      <c r="M69" s="45">
        <f t="shared" si="20"/>
        <v>0.46629629629629626</v>
      </c>
      <c r="N69" s="44">
        <f t="shared" si="20"/>
        <v>0.47513194444444445</v>
      </c>
      <c r="O69" s="44">
        <f t="shared" si="20"/>
        <v>0.42235243055555555</v>
      </c>
      <c r="P69" s="44">
        <f t="shared" si="20"/>
        <v>0.7801229166666666</v>
      </c>
      <c r="Q69" s="44">
        <f t="shared" si="20"/>
        <v>0.4527857142857143</v>
      </c>
      <c r="R69" s="45">
        <f t="shared" si="20"/>
        <v>0.8533333333333333</v>
      </c>
      <c r="S69" s="44">
        <f t="shared" si="20"/>
        <v>0.7924874999999999</v>
      </c>
      <c r="T69" s="45">
        <f t="shared" si="20"/>
        <v>0.9019953703703705</v>
      </c>
      <c r="U69" s="51"/>
      <c r="V69" s="52"/>
      <c r="W69" s="52"/>
      <c r="X69" s="52"/>
    </row>
    <row r="70" spans="1:24" s="1" customFormat="1" ht="11.25" customHeight="1">
      <c r="A70" s="54"/>
      <c r="B70" s="54"/>
      <c r="C70" s="128"/>
      <c r="D70" s="128"/>
      <c r="E70" s="128"/>
      <c r="F70" s="84"/>
      <c r="G70" s="104"/>
      <c r="H70" s="2"/>
      <c r="I70" s="2"/>
      <c r="J70" s="104"/>
      <c r="K70" s="104"/>
      <c r="L70" s="104"/>
      <c r="M70" s="195" t="s">
        <v>53</v>
      </c>
      <c r="N70" s="195"/>
      <c r="O70" s="195"/>
      <c r="P70" s="195"/>
      <c r="Q70" s="195"/>
      <c r="R70" s="195"/>
      <c r="S70" s="195"/>
      <c r="T70" s="195"/>
      <c r="U70" s="12"/>
      <c r="V70" s="19"/>
      <c r="W70" s="19"/>
      <c r="X70" s="19"/>
    </row>
    <row r="71" spans="1:24" s="1" customFormat="1" ht="11.25" customHeight="1">
      <c r="A71" s="54"/>
      <c r="B71" s="54"/>
      <c r="C71" s="128"/>
      <c r="D71" s="128"/>
      <c r="E71" s="128"/>
      <c r="F71" s="84"/>
      <c r="G71" s="104"/>
      <c r="H71" s="2"/>
      <c r="I71" s="2"/>
      <c r="J71" s="104"/>
      <c r="K71" s="104"/>
      <c r="L71" s="104"/>
      <c r="M71" s="135"/>
      <c r="N71" s="135"/>
      <c r="O71" s="135"/>
      <c r="P71" s="135"/>
      <c r="Q71" s="135"/>
      <c r="R71" s="135"/>
      <c r="S71" s="135"/>
      <c r="T71" s="135"/>
      <c r="U71" s="12"/>
      <c r="V71" s="19"/>
      <c r="W71" s="19"/>
      <c r="X71" s="19"/>
    </row>
    <row r="72" spans="1:24" s="1" customFormat="1" ht="11.25" customHeight="1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3"/>
      <c r="V72" s="25"/>
      <c r="W72" s="25"/>
      <c r="X72" s="25"/>
    </row>
    <row r="73" spans="1:24" s="1" customFormat="1" ht="11.25" customHeight="1">
      <c r="A73" s="58" t="s">
        <v>43</v>
      </c>
      <c r="B73" s="54"/>
      <c r="C73" s="54"/>
      <c r="D73" s="2"/>
      <c r="E73" s="2"/>
      <c r="F73" s="105"/>
      <c r="G73" s="197" t="s">
        <v>32</v>
      </c>
      <c r="H73" s="197"/>
      <c r="I73" s="197"/>
      <c r="J73" s="104"/>
      <c r="K73" s="104"/>
      <c r="L73" s="193" t="s">
        <v>1</v>
      </c>
      <c r="M73" s="193"/>
      <c r="N73" s="189"/>
      <c r="O73" s="189"/>
      <c r="P73" s="189"/>
      <c r="Q73" s="189"/>
      <c r="R73" s="104"/>
      <c r="S73" s="104"/>
      <c r="T73" s="104"/>
      <c r="U73" s="14"/>
      <c r="V73" s="20"/>
      <c r="W73" s="20"/>
      <c r="X73" s="20"/>
    </row>
    <row r="74" spans="1:24" s="1" customFormat="1" ht="11.25" customHeight="1">
      <c r="A74" s="54"/>
      <c r="B74" s="54"/>
      <c r="C74" s="54"/>
      <c r="D74" s="186" t="s">
        <v>2</v>
      </c>
      <c r="E74" s="186"/>
      <c r="F74" s="186"/>
      <c r="G74" s="7">
        <v>1</v>
      </c>
      <c r="H74" s="104"/>
      <c r="I74" s="2"/>
      <c r="J74" s="2"/>
      <c r="K74" s="2"/>
      <c r="L74" s="186" t="s">
        <v>3</v>
      </c>
      <c r="M74" s="186"/>
      <c r="N74" s="205" t="s">
        <v>44</v>
      </c>
      <c r="O74" s="205"/>
      <c r="P74" s="205"/>
      <c r="Q74" s="205"/>
      <c r="R74" s="205"/>
      <c r="S74" s="205"/>
      <c r="T74" s="205"/>
      <c r="U74" s="15"/>
      <c r="V74" s="21"/>
      <c r="W74" s="21"/>
      <c r="X74" s="21"/>
    </row>
    <row r="75" spans="1:24" s="1" customFormat="1" ht="21.75" customHeight="1">
      <c r="A75" s="190" t="s">
        <v>4</v>
      </c>
      <c r="B75" s="190" t="s">
        <v>5</v>
      </c>
      <c r="C75" s="190"/>
      <c r="D75" s="190" t="s">
        <v>6</v>
      </c>
      <c r="E75" s="129"/>
      <c r="F75" s="216" t="s">
        <v>7</v>
      </c>
      <c r="G75" s="216"/>
      <c r="H75" s="216"/>
      <c r="I75" s="190" t="s">
        <v>8</v>
      </c>
      <c r="J75" s="216" t="s">
        <v>9</v>
      </c>
      <c r="K75" s="216"/>
      <c r="L75" s="216"/>
      <c r="M75" s="216"/>
      <c r="N75" s="216"/>
      <c r="O75" s="216" t="s">
        <v>10</v>
      </c>
      <c r="P75" s="216"/>
      <c r="Q75" s="216"/>
      <c r="R75" s="216"/>
      <c r="S75" s="216"/>
      <c r="T75" s="216"/>
      <c r="U75" s="9"/>
      <c r="V75" s="22"/>
      <c r="W75" s="22"/>
      <c r="X75" s="22"/>
    </row>
    <row r="76" spans="1:24" s="1" customFormat="1" ht="21" customHeight="1">
      <c r="A76" s="191"/>
      <c r="B76" s="200"/>
      <c r="C76" s="201"/>
      <c r="D76" s="191"/>
      <c r="E76" s="130"/>
      <c r="F76" s="82" t="s">
        <v>11</v>
      </c>
      <c r="G76" s="134" t="s">
        <v>12</v>
      </c>
      <c r="H76" s="134" t="s">
        <v>13</v>
      </c>
      <c r="I76" s="191"/>
      <c r="J76" s="134" t="s">
        <v>14</v>
      </c>
      <c r="K76" s="134" t="s">
        <v>45</v>
      </c>
      <c r="L76" s="134" t="s">
        <v>15</v>
      </c>
      <c r="M76" s="134" t="s">
        <v>16</v>
      </c>
      <c r="N76" s="134" t="s">
        <v>17</v>
      </c>
      <c r="O76" s="134" t="s">
        <v>18</v>
      </c>
      <c r="P76" s="134" t="s">
        <v>19</v>
      </c>
      <c r="Q76" s="134" t="s">
        <v>46</v>
      </c>
      <c r="R76" s="134" t="s">
        <v>47</v>
      </c>
      <c r="S76" s="134" t="s">
        <v>20</v>
      </c>
      <c r="T76" s="134" t="s">
        <v>21</v>
      </c>
      <c r="U76" s="9"/>
      <c r="V76" s="22"/>
      <c r="W76" s="22"/>
      <c r="X76" s="22"/>
    </row>
    <row r="77" spans="1:24" s="1" customFormat="1" ht="11.25" customHeight="1">
      <c r="A77" s="133">
        <v>1</v>
      </c>
      <c r="B77" s="218">
        <v>2</v>
      </c>
      <c r="C77" s="218"/>
      <c r="D77" s="37">
        <v>3</v>
      </c>
      <c r="E77" s="37"/>
      <c r="F77" s="83">
        <v>4</v>
      </c>
      <c r="G77" s="37">
        <v>5</v>
      </c>
      <c r="H77" s="37">
        <v>6</v>
      </c>
      <c r="I77" s="37">
        <v>7</v>
      </c>
      <c r="J77" s="37">
        <v>8</v>
      </c>
      <c r="K77" s="37">
        <v>9</v>
      </c>
      <c r="L77" s="37">
        <v>10</v>
      </c>
      <c r="M77" s="37">
        <v>11</v>
      </c>
      <c r="N77" s="37">
        <v>12</v>
      </c>
      <c r="O77" s="37">
        <v>13</v>
      </c>
      <c r="P77" s="37">
        <v>14</v>
      </c>
      <c r="Q77" s="37">
        <v>15</v>
      </c>
      <c r="R77" s="37">
        <v>16</v>
      </c>
      <c r="S77" s="37">
        <v>17</v>
      </c>
      <c r="T77" s="37">
        <v>18</v>
      </c>
      <c r="U77" s="10"/>
      <c r="V77" s="23"/>
      <c r="W77" s="23"/>
      <c r="X77" s="23"/>
    </row>
    <row r="78" spans="1:24" s="1" customFormat="1" ht="11.25" customHeight="1">
      <c r="A78" s="206" t="s">
        <v>22</v>
      </c>
      <c r="B78" s="207"/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7"/>
      <c r="P78" s="207"/>
      <c r="Q78" s="207"/>
      <c r="R78" s="207"/>
      <c r="S78" s="207"/>
      <c r="T78" s="208"/>
      <c r="U78" s="11"/>
      <c r="V78" s="24"/>
      <c r="W78" s="24"/>
      <c r="X78" s="24"/>
    </row>
    <row r="79" spans="1:24" s="104" customFormat="1" ht="20.25" customHeight="1">
      <c r="A79" s="67">
        <v>71</v>
      </c>
      <c r="B79" s="167" t="s">
        <v>52</v>
      </c>
      <c r="C79" s="168"/>
      <c r="D79" s="73">
        <v>40</v>
      </c>
      <c r="E79" s="73">
        <v>9.22</v>
      </c>
      <c r="F79" s="125">
        <f>0.5*D79/60</f>
        <v>0.3333333333333333</v>
      </c>
      <c r="G79" s="125">
        <f>0.03*D79/30</f>
        <v>0.04</v>
      </c>
      <c r="H79" s="125">
        <f>1.7*D79/60</f>
        <v>1.1333333333333333</v>
      </c>
      <c r="I79" s="125">
        <f>F79*4+G79*9+H79*4</f>
        <v>6.226666666666667</v>
      </c>
      <c r="J79" s="74">
        <v>0.009</v>
      </c>
      <c r="K79" s="125">
        <v>0.01</v>
      </c>
      <c r="L79" s="75">
        <v>3</v>
      </c>
      <c r="M79" s="74">
        <v>0.003</v>
      </c>
      <c r="N79" s="73">
        <v>0.03</v>
      </c>
      <c r="O79" s="125">
        <v>6.9</v>
      </c>
      <c r="P79" s="125">
        <v>12.6</v>
      </c>
      <c r="Q79" s="74">
        <v>0.064</v>
      </c>
      <c r="R79" s="74">
        <v>0.001</v>
      </c>
      <c r="S79" s="125">
        <v>4.2</v>
      </c>
      <c r="T79" s="125">
        <v>0.18</v>
      </c>
      <c r="U79" s="32"/>
      <c r="V79" s="33"/>
      <c r="W79" s="33"/>
      <c r="X79" s="33"/>
    </row>
    <row r="80" spans="1:24" s="104" customFormat="1" ht="19.5" customHeight="1">
      <c r="A80" s="133">
        <v>304</v>
      </c>
      <c r="B80" s="166" t="s">
        <v>77</v>
      </c>
      <c r="C80" s="166"/>
      <c r="D80" s="111">
        <v>180</v>
      </c>
      <c r="E80" s="112">
        <v>8.2</v>
      </c>
      <c r="F80" s="112">
        <v>4.44</v>
      </c>
      <c r="G80" s="112">
        <v>6.44</v>
      </c>
      <c r="H80" s="112">
        <v>44.01</v>
      </c>
      <c r="I80" s="112">
        <v>251.82</v>
      </c>
      <c r="J80" s="112">
        <v>0.036</v>
      </c>
      <c r="K80" s="109">
        <v>0.024</v>
      </c>
      <c r="L80" s="112">
        <v>0</v>
      </c>
      <c r="M80" s="109">
        <v>0.048</v>
      </c>
      <c r="N80" s="110">
        <v>0</v>
      </c>
      <c r="O80" s="110">
        <v>17.93</v>
      </c>
      <c r="P80" s="111">
        <v>95.25</v>
      </c>
      <c r="Q80" s="116">
        <v>0</v>
      </c>
      <c r="R80" s="110">
        <v>0.001</v>
      </c>
      <c r="S80" s="112">
        <v>33.47</v>
      </c>
      <c r="T80" s="114">
        <v>0.708</v>
      </c>
      <c r="U80" s="115"/>
      <c r="V80" s="115"/>
      <c r="W80" s="115"/>
      <c r="X80" s="115"/>
    </row>
    <row r="81" spans="1:24" s="104" customFormat="1" ht="22.5" customHeight="1">
      <c r="A81" s="140">
        <v>591</v>
      </c>
      <c r="B81" s="181" t="s">
        <v>83</v>
      </c>
      <c r="C81" s="182"/>
      <c r="D81" s="141">
        <v>120</v>
      </c>
      <c r="E81" s="142">
        <v>45.68</v>
      </c>
      <c r="F81" s="142">
        <v>5.86</v>
      </c>
      <c r="G81" s="142">
        <v>16.31</v>
      </c>
      <c r="H81" s="142">
        <v>3.07</v>
      </c>
      <c r="I81" s="142">
        <v>182.51</v>
      </c>
      <c r="J81" s="142">
        <v>0.14</v>
      </c>
      <c r="K81" s="142">
        <v>0.05</v>
      </c>
      <c r="L81" s="142">
        <v>0.09</v>
      </c>
      <c r="M81" s="142">
        <v>0</v>
      </c>
      <c r="N81" s="142">
        <v>0</v>
      </c>
      <c r="O81" s="142">
        <v>9.54</v>
      </c>
      <c r="P81" s="142">
        <v>63.38</v>
      </c>
      <c r="Q81" s="142">
        <v>1.12</v>
      </c>
      <c r="R81" s="142">
        <v>2.55</v>
      </c>
      <c r="S81" s="142">
        <v>11.3</v>
      </c>
      <c r="T81" s="142">
        <v>0.75</v>
      </c>
      <c r="U81" s="114"/>
      <c r="V81" s="115"/>
      <c r="W81" s="115"/>
      <c r="X81" s="115"/>
    </row>
    <row r="82" spans="1:24" s="104" customFormat="1" ht="12.75" customHeight="1">
      <c r="A82" s="133">
        <v>379</v>
      </c>
      <c r="B82" s="167" t="s">
        <v>39</v>
      </c>
      <c r="C82" s="168"/>
      <c r="D82" s="111">
        <v>200</v>
      </c>
      <c r="E82" s="112">
        <v>12.05</v>
      </c>
      <c r="F82" s="112">
        <v>3.17</v>
      </c>
      <c r="G82" s="112">
        <v>2.68</v>
      </c>
      <c r="H82" s="112">
        <v>15.95</v>
      </c>
      <c r="I82" s="112">
        <f>F82*4+G82*9+H82*4</f>
        <v>100.6</v>
      </c>
      <c r="J82" s="112">
        <v>0.04</v>
      </c>
      <c r="K82" s="112">
        <v>0.15</v>
      </c>
      <c r="L82" s="112">
        <v>1.3</v>
      </c>
      <c r="M82" s="113">
        <v>0.03</v>
      </c>
      <c r="N82" s="109">
        <v>0.06</v>
      </c>
      <c r="O82" s="112">
        <v>120.4</v>
      </c>
      <c r="P82" s="110">
        <v>90</v>
      </c>
      <c r="Q82" s="112">
        <v>1.1</v>
      </c>
      <c r="R82" s="113">
        <v>0.01</v>
      </c>
      <c r="S82" s="112">
        <v>14</v>
      </c>
      <c r="T82" s="112">
        <v>0.12</v>
      </c>
      <c r="U82" s="114"/>
      <c r="V82" s="115"/>
      <c r="W82" s="115"/>
      <c r="X82" s="115"/>
    </row>
    <row r="83" spans="1:24" s="104" customFormat="1" ht="11.25" customHeight="1">
      <c r="A83" s="117" t="s">
        <v>54</v>
      </c>
      <c r="B83" s="167" t="s">
        <v>40</v>
      </c>
      <c r="C83" s="168"/>
      <c r="D83" s="111">
        <v>40</v>
      </c>
      <c r="E83" s="112">
        <v>3.1</v>
      </c>
      <c r="F83" s="112">
        <f>1.52*D83/30</f>
        <v>2.0266666666666664</v>
      </c>
      <c r="G83" s="113">
        <f>0.16*D83/30</f>
        <v>0.21333333333333335</v>
      </c>
      <c r="H83" s="113">
        <f>9.84*D83/30</f>
        <v>13.120000000000001</v>
      </c>
      <c r="I83" s="113">
        <f>F83*4+G83*9+H83*4</f>
        <v>62.50666666666667</v>
      </c>
      <c r="J83" s="113">
        <f>0.02*D83/30</f>
        <v>0.02666666666666667</v>
      </c>
      <c r="K83" s="113">
        <f>0.01*D83/30</f>
        <v>0.013333333333333334</v>
      </c>
      <c r="L83" s="113">
        <f>0.44*D83/30</f>
        <v>0.5866666666666667</v>
      </c>
      <c r="M83" s="113">
        <v>0</v>
      </c>
      <c r="N83" s="113">
        <f>0.7*D83/30</f>
        <v>0.9333333333333333</v>
      </c>
      <c r="O83" s="113">
        <f>4*D83/30</f>
        <v>5.333333333333333</v>
      </c>
      <c r="P83" s="113">
        <f>13*D83/30</f>
        <v>17.333333333333332</v>
      </c>
      <c r="Q83" s="113">
        <f>0.008*D83/30</f>
        <v>0.010666666666666666</v>
      </c>
      <c r="R83" s="113">
        <f>0.001*D83/30</f>
        <v>0.0013333333333333333</v>
      </c>
      <c r="S83" s="113">
        <v>0</v>
      </c>
      <c r="T83" s="113">
        <f>0.22*D83/30</f>
        <v>0.29333333333333333</v>
      </c>
      <c r="U83" s="114"/>
      <c r="V83" s="115"/>
      <c r="W83" s="115"/>
      <c r="X83" s="115"/>
    </row>
    <row r="84" spans="1:20" s="100" customFormat="1" ht="12.75" customHeight="1">
      <c r="A84" s="143" t="s">
        <v>54</v>
      </c>
      <c r="B84" s="187" t="s">
        <v>85</v>
      </c>
      <c r="C84" s="187"/>
      <c r="D84" s="124">
        <v>10</v>
      </c>
      <c r="E84" s="101">
        <v>1.75</v>
      </c>
      <c r="F84" s="101">
        <v>0.4</v>
      </c>
      <c r="G84" s="101">
        <v>0.4</v>
      </c>
      <c r="H84" s="101">
        <v>9.8</v>
      </c>
      <c r="I84" s="101">
        <f>F84*4+G84*9+H84*4</f>
        <v>44.400000000000006</v>
      </c>
      <c r="J84" s="101">
        <v>0.04</v>
      </c>
      <c r="K84" s="101">
        <v>0.02</v>
      </c>
      <c r="L84" s="124">
        <v>10</v>
      </c>
      <c r="M84" s="124">
        <v>0.02</v>
      </c>
      <c r="N84" s="101">
        <v>0.2</v>
      </c>
      <c r="O84" s="101">
        <v>16</v>
      </c>
      <c r="P84" s="101">
        <v>11</v>
      </c>
      <c r="Q84" s="124">
        <v>0.03</v>
      </c>
      <c r="R84" s="124">
        <v>0.002</v>
      </c>
      <c r="S84" s="101">
        <v>9</v>
      </c>
      <c r="T84" s="101">
        <v>2.2</v>
      </c>
    </row>
    <row r="85" spans="1:24" s="104" customFormat="1" ht="12" customHeight="1">
      <c r="A85" s="61" t="s">
        <v>24</v>
      </c>
      <c r="B85" s="62"/>
      <c r="C85" s="62"/>
      <c r="D85" s="60">
        <f>SUM(D79:D84)</f>
        <v>590</v>
      </c>
      <c r="E85" s="118">
        <f>SUM(E79:E84)</f>
        <v>80</v>
      </c>
      <c r="F85" s="39">
        <f>SUM(F79:F84)</f>
        <v>16.229999999999997</v>
      </c>
      <c r="G85" s="39">
        <f aca="true" t="shared" si="21" ref="G85:T85">SUM(G79:G84)</f>
        <v>26.083333333333332</v>
      </c>
      <c r="H85" s="39">
        <f t="shared" si="21"/>
        <v>87.08333333333333</v>
      </c>
      <c r="I85" s="39">
        <f t="shared" si="21"/>
        <v>648.0633333333333</v>
      </c>
      <c r="J85" s="39">
        <f t="shared" si="21"/>
        <v>0.29166666666666663</v>
      </c>
      <c r="K85" s="39">
        <f t="shared" si="21"/>
        <v>0.2673333333333333</v>
      </c>
      <c r="L85" s="39">
        <f t="shared" si="21"/>
        <v>14.976666666666667</v>
      </c>
      <c r="M85" s="39">
        <f t="shared" si="21"/>
        <v>0.101</v>
      </c>
      <c r="N85" s="39">
        <f t="shared" si="21"/>
        <v>1.2233333333333334</v>
      </c>
      <c r="O85" s="39">
        <f t="shared" si="21"/>
        <v>176.10333333333335</v>
      </c>
      <c r="P85" s="39">
        <f t="shared" si="21"/>
        <v>289.56333333333333</v>
      </c>
      <c r="Q85" s="39">
        <f t="shared" si="21"/>
        <v>2.324666666666667</v>
      </c>
      <c r="R85" s="39">
        <f t="shared" si="21"/>
        <v>2.5653333333333324</v>
      </c>
      <c r="S85" s="39">
        <f t="shared" si="21"/>
        <v>71.97</v>
      </c>
      <c r="T85" s="39">
        <f t="shared" si="21"/>
        <v>4.251333333333333</v>
      </c>
      <c r="U85" s="38"/>
      <c r="V85" s="107"/>
      <c r="W85" s="107"/>
      <c r="X85" s="107"/>
    </row>
    <row r="86" spans="1:24" s="104" customFormat="1" ht="12" customHeight="1">
      <c r="A86" s="169" t="s">
        <v>50</v>
      </c>
      <c r="B86" s="170"/>
      <c r="C86" s="170"/>
      <c r="D86" s="171"/>
      <c r="E86" s="99"/>
      <c r="F86" s="120">
        <f aca="true" t="shared" si="22" ref="F86:T86">F85/F104</f>
        <v>0.1803333333333333</v>
      </c>
      <c r="G86" s="97">
        <f t="shared" si="22"/>
        <v>0.28351449275362317</v>
      </c>
      <c r="H86" s="97">
        <f t="shared" si="22"/>
        <v>0.2273716275021758</v>
      </c>
      <c r="I86" s="97">
        <f t="shared" si="22"/>
        <v>0.23825857843137252</v>
      </c>
      <c r="J86" s="97">
        <f t="shared" si="22"/>
        <v>0.20833333333333331</v>
      </c>
      <c r="K86" s="97">
        <f t="shared" si="22"/>
        <v>0.1670833333333333</v>
      </c>
      <c r="L86" s="97">
        <f t="shared" si="22"/>
        <v>0.21395238095238095</v>
      </c>
      <c r="M86" s="97">
        <f t="shared" si="22"/>
        <v>0.11222222222222222</v>
      </c>
      <c r="N86" s="97">
        <f t="shared" si="22"/>
        <v>0.10194444444444445</v>
      </c>
      <c r="O86" s="97">
        <f t="shared" si="22"/>
        <v>0.1467527777777778</v>
      </c>
      <c r="P86" s="97">
        <f t="shared" si="22"/>
        <v>0.24130277777777778</v>
      </c>
      <c r="Q86" s="97">
        <f t="shared" si="22"/>
        <v>0.16604761904761905</v>
      </c>
      <c r="R86" s="97">
        <f t="shared" si="22"/>
        <v>25.65333333333332</v>
      </c>
      <c r="S86" s="97">
        <f t="shared" si="22"/>
        <v>0.2399</v>
      </c>
      <c r="T86" s="97">
        <f t="shared" si="22"/>
        <v>0.23618518518518516</v>
      </c>
      <c r="U86" s="108"/>
      <c r="V86" s="107"/>
      <c r="W86" s="107"/>
      <c r="X86" s="107"/>
    </row>
    <row r="87" spans="1:24" s="104" customFormat="1" ht="10.5" customHeight="1">
      <c r="A87" s="206" t="s">
        <v>27</v>
      </c>
      <c r="B87" s="207"/>
      <c r="C87" s="207"/>
      <c r="D87" s="207"/>
      <c r="E87" s="207"/>
      <c r="F87" s="207"/>
      <c r="G87" s="207"/>
      <c r="H87" s="207"/>
      <c r="I87" s="207"/>
      <c r="J87" s="207"/>
      <c r="K87" s="207"/>
      <c r="L87" s="207"/>
      <c r="M87" s="207"/>
      <c r="N87" s="207"/>
      <c r="O87" s="207"/>
      <c r="P87" s="207"/>
      <c r="Q87" s="207"/>
      <c r="R87" s="207"/>
      <c r="S87" s="207"/>
      <c r="T87" s="208"/>
      <c r="U87" s="11"/>
      <c r="V87" s="24"/>
      <c r="W87" s="24"/>
      <c r="X87" s="24"/>
    </row>
    <row r="88" spans="1:24" s="104" customFormat="1" ht="18.75" customHeight="1">
      <c r="A88" s="133">
        <v>45</v>
      </c>
      <c r="B88" s="166" t="s">
        <v>69</v>
      </c>
      <c r="C88" s="166"/>
      <c r="D88" s="111">
        <v>100</v>
      </c>
      <c r="E88" s="112">
        <v>8.44</v>
      </c>
      <c r="F88" s="112">
        <f>0.9*D88/60</f>
        <v>1.5</v>
      </c>
      <c r="G88" s="112">
        <f>1.31*D88/60</f>
        <v>2.183333333333333</v>
      </c>
      <c r="H88" s="112">
        <f>5.6*D88/60</f>
        <v>9.333333333333334</v>
      </c>
      <c r="I88" s="112">
        <f>F88*4+G88*9+H88*4</f>
        <v>62.983333333333334</v>
      </c>
      <c r="J88" s="112">
        <f>0.06*D88/60</f>
        <v>0.1</v>
      </c>
      <c r="K88" s="112">
        <f>0.07*D88/60</f>
        <v>0.11666666666666668</v>
      </c>
      <c r="L88" s="112">
        <f>15.5*D88/60</f>
        <v>25.833333333333332</v>
      </c>
      <c r="M88" s="113">
        <f>0.071*D88/60</f>
        <v>0.11833333333333333</v>
      </c>
      <c r="N88" s="112">
        <f>0.3*D88/60</f>
        <v>0.5</v>
      </c>
      <c r="O88" s="112">
        <f>28.2*D88/60</f>
        <v>47</v>
      </c>
      <c r="P88" s="112">
        <f>18.9*D88/60</f>
        <v>31.499999999999996</v>
      </c>
      <c r="Q88" s="112">
        <f>0.2*D88/60</f>
        <v>0.3333333333333333</v>
      </c>
      <c r="R88" s="113">
        <f>0.001*D88/60</f>
        <v>0.0016666666666666668</v>
      </c>
      <c r="S88" s="112">
        <f>10.5*D88/60</f>
        <v>17.5</v>
      </c>
      <c r="T88" s="112">
        <f>0.6*D88/60</f>
        <v>1</v>
      </c>
      <c r="U88" s="114"/>
      <c r="V88" s="115"/>
      <c r="W88" s="115"/>
      <c r="X88" s="115"/>
    </row>
    <row r="89" spans="1:24" s="104" customFormat="1" ht="22.5" customHeight="1">
      <c r="A89" s="140">
        <v>103</v>
      </c>
      <c r="B89" s="192" t="s">
        <v>74</v>
      </c>
      <c r="C89" s="192"/>
      <c r="D89" s="141">
        <v>250</v>
      </c>
      <c r="E89" s="142">
        <v>9.68</v>
      </c>
      <c r="F89" s="142">
        <v>12.37</v>
      </c>
      <c r="G89" s="142">
        <v>11.12</v>
      </c>
      <c r="H89" s="142">
        <v>31.5</v>
      </c>
      <c r="I89" s="142">
        <v>275.62</v>
      </c>
      <c r="J89" s="142">
        <v>0.25</v>
      </c>
      <c r="K89" s="142">
        <v>0.063</v>
      </c>
      <c r="L89" s="142">
        <v>8.25</v>
      </c>
      <c r="M89" s="142">
        <v>0</v>
      </c>
      <c r="N89" s="142">
        <v>0</v>
      </c>
      <c r="O89" s="142">
        <v>49.37</v>
      </c>
      <c r="P89" s="142">
        <v>93.37</v>
      </c>
      <c r="Q89" s="142">
        <v>0</v>
      </c>
      <c r="R89" s="142">
        <v>0.001</v>
      </c>
      <c r="S89" s="142">
        <v>27.25</v>
      </c>
      <c r="T89" s="142">
        <v>0.37</v>
      </c>
      <c r="U89" s="114"/>
      <c r="V89" s="115"/>
      <c r="W89" s="115"/>
      <c r="X89" s="115"/>
    </row>
    <row r="90" spans="1:24" s="104" customFormat="1" ht="12" customHeight="1">
      <c r="A90" s="117">
        <v>232</v>
      </c>
      <c r="B90" s="167" t="s">
        <v>92</v>
      </c>
      <c r="C90" s="168"/>
      <c r="D90" s="111">
        <v>100</v>
      </c>
      <c r="E90" s="112">
        <v>32.87</v>
      </c>
      <c r="F90" s="112">
        <f>20.2*D90/100</f>
        <v>20.2</v>
      </c>
      <c r="G90" s="112">
        <f>12.07*D90/100</f>
        <v>12.07</v>
      </c>
      <c r="H90" s="112">
        <f>2.08*D90/100</f>
        <v>2.08</v>
      </c>
      <c r="I90" s="112">
        <f>F90*4+G90*9+H90*4</f>
        <v>197.75</v>
      </c>
      <c r="J90" s="112">
        <f>0.2*D90/100</f>
        <v>0.2</v>
      </c>
      <c r="K90" s="112">
        <f>0.17*D90/100</f>
        <v>0.17</v>
      </c>
      <c r="L90" s="112">
        <f>2.63*D90/100</f>
        <v>2.63</v>
      </c>
      <c r="M90" s="113">
        <f>D90*0.025/80</f>
        <v>0.03125</v>
      </c>
      <c r="N90" s="112">
        <v>0.3</v>
      </c>
      <c r="O90" s="112">
        <f>D90*68.89/80</f>
        <v>86.1125</v>
      </c>
      <c r="P90" s="112">
        <f>D90*33.41/80</f>
        <v>41.762499999999996</v>
      </c>
      <c r="Q90" s="110">
        <v>0.8</v>
      </c>
      <c r="R90" s="110">
        <v>0.04</v>
      </c>
      <c r="S90" s="112">
        <f>D90*23.17/80</f>
        <v>28.9625</v>
      </c>
      <c r="T90" s="112">
        <f>D90*0.73/80</f>
        <v>0.9125</v>
      </c>
      <c r="U90" s="114"/>
      <c r="V90" s="115"/>
      <c r="W90" s="115"/>
      <c r="X90" s="115"/>
    </row>
    <row r="91" spans="1:24" s="104" customFormat="1" ht="12" customHeight="1">
      <c r="A91" s="117">
        <v>312</v>
      </c>
      <c r="B91" s="167" t="s">
        <v>36</v>
      </c>
      <c r="C91" s="168"/>
      <c r="D91" s="111">
        <v>180</v>
      </c>
      <c r="E91" s="112">
        <v>19.11</v>
      </c>
      <c r="F91" s="112">
        <f>D91*3.29/150</f>
        <v>3.9480000000000004</v>
      </c>
      <c r="G91" s="112">
        <f>D91*7.06/150</f>
        <v>8.472</v>
      </c>
      <c r="H91" s="112">
        <f>D91*22.21/150</f>
        <v>26.652</v>
      </c>
      <c r="I91" s="112">
        <f>F91*4+G91*9+H91*4</f>
        <v>198.648</v>
      </c>
      <c r="J91" s="112">
        <f>D91*0.16/150</f>
        <v>0.192</v>
      </c>
      <c r="K91" s="112">
        <f>D91*0.13/150</f>
        <v>0.15600000000000003</v>
      </c>
      <c r="L91" s="112">
        <f>D91*0.73/150</f>
        <v>0.876</v>
      </c>
      <c r="M91" s="113">
        <f>D91*0.08/150</f>
        <v>0.096</v>
      </c>
      <c r="N91" s="109">
        <f>1.5*D91/150</f>
        <v>1.8</v>
      </c>
      <c r="O91" s="112">
        <f>D91*42.54/150</f>
        <v>51.048</v>
      </c>
      <c r="P91" s="110">
        <f>D91*97.75/150</f>
        <v>117.3</v>
      </c>
      <c r="Q91" s="113">
        <f>0.299*D91/150</f>
        <v>0.3588</v>
      </c>
      <c r="R91" s="113">
        <f>0.001*D91/150</f>
        <v>0.0012</v>
      </c>
      <c r="S91" s="112">
        <f>D91*33.06/150</f>
        <v>39.672000000000004</v>
      </c>
      <c r="T91" s="112">
        <f>D91*1.19/150</f>
        <v>1.428</v>
      </c>
      <c r="U91" s="114"/>
      <c r="V91" s="115"/>
      <c r="W91" s="115"/>
      <c r="X91" s="115"/>
    </row>
    <row r="92" spans="1:24" s="104" customFormat="1" ht="12.75" customHeight="1">
      <c r="A92" s="133">
        <v>376</v>
      </c>
      <c r="B92" s="166" t="s">
        <v>93</v>
      </c>
      <c r="C92" s="166"/>
      <c r="D92" s="111">
        <v>200</v>
      </c>
      <c r="E92" s="112">
        <v>2.2</v>
      </c>
      <c r="F92" s="112">
        <v>0.2</v>
      </c>
      <c r="G92" s="112">
        <v>0.05</v>
      </c>
      <c r="H92" s="112">
        <v>15.01</v>
      </c>
      <c r="I92" s="112">
        <v>61.29</v>
      </c>
      <c r="J92" s="112">
        <v>0</v>
      </c>
      <c r="K92" s="112">
        <v>0.01</v>
      </c>
      <c r="L92" s="112">
        <v>9</v>
      </c>
      <c r="M92" s="109">
        <v>0</v>
      </c>
      <c r="N92" s="112">
        <v>0.045</v>
      </c>
      <c r="O92" s="112">
        <v>5.25</v>
      </c>
      <c r="P92" s="112">
        <v>8.24</v>
      </c>
      <c r="Q92" s="112">
        <v>0.008</v>
      </c>
      <c r="R92" s="113">
        <v>0</v>
      </c>
      <c r="S92" s="112">
        <v>4.4</v>
      </c>
      <c r="T92" s="112">
        <v>0.87</v>
      </c>
      <c r="U92" s="114"/>
      <c r="V92" s="115"/>
      <c r="W92" s="115"/>
      <c r="X92" s="115"/>
    </row>
    <row r="93" spans="1:24" s="104" customFormat="1" ht="11.25" customHeight="1">
      <c r="A93" s="72" t="s">
        <v>54</v>
      </c>
      <c r="B93" s="167" t="s">
        <v>35</v>
      </c>
      <c r="C93" s="168"/>
      <c r="D93" s="111">
        <v>40</v>
      </c>
      <c r="E93" s="112">
        <v>2.04</v>
      </c>
      <c r="F93" s="112">
        <f>2.64*D93/40</f>
        <v>2.64</v>
      </c>
      <c r="G93" s="112">
        <f>0.48*D93/40</f>
        <v>0.48</v>
      </c>
      <c r="H93" s="112">
        <f>13.68*D93/40</f>
        <v>13.680000000000001</v>
      </c>
      <c r="I93" s="110">
        <f>F93*4+G93*9+H93*4</f>
        <v>69.60000000000001</v>
      </c>
      <c r="J93" s="109">
        <f>0.08*D93/40</f>
        <v>0.08</v>
      </c>
      <c r="K93" s="112">
        <f>0.04*D93/40</f>
        <v>0.04</v>
      </c>
      <c r="L93" s="111">
        <v>0</v>
      </c>
      <c r="M93" s="111">
        <v>0</v>
      </c>
      <c r="N93" s="112">
        <f>2.4*D93/40</f>
        <v>2.4</v>
      </c>
      <c r="O93" s="112">
        <f>14*D93/40</f>
        <v>14</v>
      </c>
      <c r="P93" s="112">
        <f>63.2*D93/40</f>
        <v>63.2</v>
      </c>
      <c r="Q93" s="112">
        <f>1.2*D93/40</f>
        <v>1.2</v>
      </c>
      <c r="R93" s="113">
        <f>0.001*D93/40</f>
        <v>0.001</v>
      </c>
      <c r="S93" s="112">
        <f>9.4*D93/40</f>
        <v>9.4</v>
      </c>
      <c r="T93" s="109">
        <f>0.78*D93/40</f>
        <v>0.78</v>
      </c>
      <c r="U93" s="30"/>
      <c r="V93" s="31"/>
      <c r="W93" s="31"/>
      <c r="X93" s="31"/>
    </row>
    <row r="94" spans="1:24" s="104" customFormat="1" ht="11.25" customHeight="1">
      <c r="A94" s="117" t="s">
        <v>54</v>
      </c>
      <c r="B94" s="167" t="s">
        <v>40</v>
      </c>
      <c r="C94" s="168"/>
      <c r="D94" s="111">
        <v>40</v>
      </c>
      <c r="E94" s="112">
        <v>3.1</v>
      </c>
      <c r="F94" s="112">
        <f>1.52*D94/30</f>
        <v>2.0266666666666664</v>
      </c>
      <c r="G94" s="113">
        <f>0.16*D94/30</f>
        <v>0.21333333333333335</v>
      </c>
      <c r="H94" s="113">
        <f>9.84*D94/30</f>
        <v>13.120000000000001</v>
      </c>
      <c r="I94" s="113">
        <f>F94*4+G94*9+H94*4</f>
        <v>62.50666666666667</v>
      </c>
      <c r="J94" s="113">
        <f>0.02*D94/30</f>
        <v>0.02666666666666667</v>
      </c>
      <c r="K94" s="113">
        <f>0.01*D94/30</f>
        <v>0.013333333333333334</v>
      </c>
      <c r="L94" s="113">
        <f>0.44*D94/30</f>
        <v>0.5866666666666667</v>
      </c>
      <c r="M94" s="113">
        <v>0</v>
      </c>
      <c r="N94" s="113">
        <f>0.7*D94/30</f>
        <v>0.9333333333333333</v>
      </c>
      <c r="O94" s="113">
        <f>4*D94/30</f>
        <v>5.333333333333333</v>
      </c>
      <c r="P94" s="113">
        <f>13*D94/30</f>
        <v>17.333333333333332</v>
      </c>
      <c r="Q94" s="113">
        <f>0.008*D94/30</f>
        <v>0.010666666666666666</v>
      </c>
      <c r="R94" s="113">
        <f>0.001*D94/30</f>
        <v>0.0013333333333333333</v>
      </c>
      <c r="S94" s="113">
        <v>0</v>
      </c>
      <c r="T94" s="113">
        <f>0.22*D94/30</f>
        <v>0.29333333333333333</v>
      </c>
      <c r="U94" s="114"/>
      <c r="V94" s="115"/>
      <c r="W94" s="115"/>
      <c r="X94" s="115"/>
    </row>
    <row r="95" spans="1:24" ht="9.75">
      <c r="A95" s="156" t="s">
        <v>54</v>
      </c>
      <c r="B95" s="174" t="s">
        <v>97</v>
      </c>
      <c r="C95" s="175"/>
      <c r="D95" s="156">
        <v>40</v>
      </c>
      <c r="E95" s="157">
        <v>12.56</v>
      </c>
      <c r="F95" s="157">
        <v>0.65</v>
      </c>
      <c r="G95" s="158">
        <v>3.8</v>
      </c>
      <c r="H95" s="159">
        <v>17.6</v>
      </c>
      <c r="I95" s="157">
        <v>38</v>
      </c>
      <c r="J95" s="157">
        <v>0.026</v>
      </c>
      <c r="K95" s="157">
        <v>0.03</v>
      </c>
      <c r="L95" s="157">
        <v>0.13</v>
      </c>
      <c r="M95" s="157">
        <v>11.96</v>
      </c>
      <c r="N95" s="158">
        <v>0.39</v>
      </c>
      <c r="O95" s="157">
        <v>24.18</v>
      </c>
      <c r="P95" s="157">
        <v>49.4</v>
      </c>
      <c r="Q95" s="160">
        <v>0.2</v>
      </c>
      <c r="R95" s="157">
        <v>0.002</v>
      </c>
      <c r="S95" s="157">
        <v>18.72</v>
      </c>
      <c r="T95" s="157">
        <v>0.182</v>
      </c>
      <c r="U95"/>
      <c r="V95"/>
      <c r="W95"/>
      <c r="X95"/>
    </row>
    <row r="96" spans="1:24" s="104" customFormat="1" ht="11.25" customHeight="1">
      <c r="A96" s="61" t="s">
        <v>28</v>
      </c>
      <c r="B96" s="62"/>
      <c r="C96" s="62"/>
      <c r="D96" s="65">
        <f>SUM(D88:D95)</f>
        <v>950</v>
      </c>
      <c r="E96" s="118">
        <f>SUM(E88:E95)</f>
        <v>90</v>
      </c>
      <c r="F96" s="39">
        <f>SUM(F88:F95)</f>
        <v>43.534666666666666</v>
      </c>
      <c r="G96" s="39">
        <f aca="true" t="shared" si="23" ref="G96:T96">SUM(G88:G95)</f>
        <v>38.38866666666666</v>
      </c>
      <c r="H96" s="39">
        <f t="shared" si="23"/>
        <v>128.97533333333337</v>
      </c>
      <c r="I96" s="39">
        <f t="shared" si="23"/>
        <v>966.398</v>
      </c>
      <c r="J96" s="39">
        <f t="shared" si="23"/>
        <v>0.8746666666666666</v>
      </c>
      <c r="K96" s="39">
        <f t="shared" si="23"/>
        <v>0.5990000000000001</v>
      </c>
      <c r="L96" s="39">
        <f t="shared" si="23"/>
        <v>47.306</v>
      </c>
      <c r="M96" s="39">
        <f t="shared" si="23"/>
        <v>12.205583333333335</v>
      </c>
      <c r="N96" s="39">
        <f t="shared" si="23"/>
        <v>6.368333333333333</v>
      </c>
      <c r="O96" s="39">
        <f t="shared" si="23"/>
        <v>282.29383333333334</v>
      </c>
      <c r="P96" s="39">
        <f t="shared" si="23"/>
        <v>422.1058333333333</v>
      </c>
      <c r="Q96" s="39">
        <f t="shared" si="23"/>
        <v>2.9108000000000005</v>
      </c>
      <c r="R96" s="39">
        <f t="shared" si="23"/>
        <v>0.0482</v>
      </c>
      <c r="S96" s="39">
        <f t="shared" si="23"/>
        <v>145.9045</v>
      </c>
      <c r="T96" s="39">
        <f t="shared" si="23"/>
        <v>5.835833333333333</v>
      </c>
      <c r="U96" s="38"/>
      <c r="V96" s="107"/>
      <c r="W96" s="107"/>
      <c r="X96" s="107"/>
    </row>
    <row r="97" spans="1:24" s="104" customFormat="1" ht="11.25" customHeight="1">
      <c r="A97" s="169" t="s">
        <v>50</v>
      </c>
      <c r="B97" s="170"/>
      <c r="C97" s="170"/>
      <c r="D97" s="171"/>
      <c r="E97" s="99"/>
      <c r="F97" s="120">
        <f aca="true" t="shared" si="24" ref="F97:T97">F96/F104</f>
        <v>0.4837185185185185</v>
      </c>
      <c r="G97" s="96">
        <f t="shared" si="24"/>
        <v>0.4172681159420289</v>
      </c>
      <c r="H97" s="96">
        <f t="shared" si="24"/>
        <v>0.3367502175805049</v>
      </c>
      <c r="I97" s="96">
        <f t="shared" si="24"/>
        <v>0.35529338235294117</v>
      </c>
      <c r="J97" s="96">
        <f t="shared" si="24"/>
        <v>0.6247619047619047</v>
      </c>
      <c r="K97" s="96">
        <f t="shared" si="24"/>
        <v>0.374375</v>
      </c>
      <c r="L97" s="96">
        <f t="shared" si="24"/>
        <v>0.6758</v>
      </c>
      <c r="M97" s="96">
        <f t="shared" si="24"/>
        <v>13.561759259259262</v>
      </c>
      <c r="N97" s="96">
        <f t="shared" si="24"/>
        <v>0.5306944444444445</v>
      </c>
      <c r="O97" s="96">
        <f t="shared" si="24"/>
        <v>0.23524486111111112</v>
      </c>
      <c r="P97" s="96">
        <f t="shared" si="24"/>
        <v>0.3517548611111111</v>
      </c>
      <c r="Q97" s="96">
        <f t="shared" si="24"/>
        <v>0.20791428571428575</v>
      </c>
      <c r="R97" s="96">
        <f t="shared" si="24"/>
        <v>0.482</v>
      </c>
      <c r="S97" s="96">
        <f t="shared" si="24"/>
        <v>0.4863483333333334</v>
      </c>
      <c r="T97" s="96">
        <f t="shared" si="24"/>
        <v>0.324212962962963</v>
      </c>
      <c r="U97" s="108"/>
      <c r="V97" s="107"/>
      <c r="W97" s="107"/>
      <c r="X97" s="107"/>
    </row>
    <row r="98" spans="1:24" s="104" customFormat="1" ht="11.25" customHeight="1">
      <c r="A98" s="206" t="s">
        <v>29</v>
      </c>
      <c r="B98" s="207"/>
      <c r="C98" s="207"/>
      <c r="D98" s="207"/>
      <c r="E98" s="207"/>
      <c r="F98" s="207"/>
      <c r="G98" s="207"/>
      <c r="H98" s="207"/>
      <c r="I98" s="207"/>
      <c r="J98" s="207"/>
      <c r="K98" s="207"/>
      <c r="L98" s="207"/>
      <c r="M98" s="207"/>
      <c r="N98" s="207"/>
      <c r="O98" s="207"/>
      <c r="P98" s="207"/>
      <c r="Q98" s="207"/>
      <c r="R98" s="207"/>
      <c r="S98" s="207"/>
      <c r="T98" s="208"/>
      <c r="U98" s="11"/>
      <c r="V98" s="24"/>
      <c r="W98" s="24"/>
      <c r="X98" s="24"/>
    </row>
    <row r="99" spans="1:20" s="100" customFormat="1" ht="12" customHeight="1">
      <c r="A99" s="149"/>
      <c r="B99" s="187"/>
      <c r="C99" s="187"/>
      <c r="D99" s="124"/>
      <c r="E99" s="101"/>
      <c r="F99" s="101"/>
      <c r="G99" s="152"/>
      <c r="H99" s="152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</row>
    <row r="100" spans="1:24" s="104" customFormat="1" ht="21.75" customHeight="1">
      <c r="A100" s="117"/>
      <c r="B100" s="167"/>
      <c r="C100" s="168"/>
      <c r="D100" s="111"/>
      <c r="E100" s="112"/>
      <c r="F100" s="112"/>
      <c r="G100" s="109"/>
      <c r="H100" s="112"/>
      <c r="I100" s="112"/>
      <c r="J100" s="109"/>
      <c r="K100" s="109"/>
      <c r="L100" s="112"/>
      <c r="M100" s="109"/>
      <c r="N100" s="109"/>
      <c r="O100" s="110"/>
      <c r="P100" s="110"/>
      <c r="Q100" s="111"/>
      <c r="R100" s="111"/>
      <c r="S100" s="110"/>
      <c r="T100" s="112"/>
      <c r="U100" s="114"/>
      <c r="V100" s="115"/>
      <c r="W100" s="115"/>
      <c r="X100" s="115"/>
    </row>
    <row r="101" spans="1:24" s="1" customFormat="1" ht="11.25" customHeight="1">
      <c r="A101" s="61" t="s">
        <v>30</v>
      </c>
      <c r="B101" s="62"/>
      <c r="C101" s="62"/>
      <c r="D101" s="65">
        <f aca="true" t="shared" si="25" ref="D101:T101">SUM(D99:D100)</f>
        <v>0</v>
      </c>
      <c r="E101" s="118">
        <f t="shared" si="25"/>
        <v>0</v>
      </c>
      <c r="F101" s="39">
        <f t="shared" si="25"/>
        <v>0</v>
      </c>
      <c r="G101" s="38">
        <f t="shared" si="25"/>
        <v>0</v>
      </c>
      <c r="H101" s="38">
        <f t="shared" si="25"/>
        <v>0</v>
      </c>
      <c r="I101" s="38">
        <f t="shared" si="25"/>
        <v>0</v>
      </c>
      <c r="J101" s="38">
        <f t="shared" si="25"/>
        <v>0</v>
      </c>
      <c r="K101" s="38">
        <f t="shared" si="25"/>
        <v>0</v>
      </c>
      <c r="L101" s="38">
        <f t="shared" si="25"/>
        <v>0</v>
      </c>
      <c r="M101" s="38">
        <f t="shared" si="25"/>
        <v>0</v>
      </c>
      <c r="N101" s="38">
        <f t="shared" si="25"/>
        <v>0</v>
      </c>
      <c r="O101" s="38">
        <f t="shared" si="25"/>
        <v>0</v>
      </c>
      <c r="P101" s="38">
        <f t="shared" si="25"/>
        <v>0</v>
      </c>
      <c r="Q101" s="38">
        <f t="shared" si="25"/>
        <v>0</v>
      </c>
      <c r="R101" s="38">
        <f t="shared" si="25"/>
        <v>0</v>
      </c>
      <c r="S101" s="38">
        <f t="shared" si="25"/>
        <v>0</v>
      </c>
      <c r="T101" s="38">
        <f t="shared" si="25"/>
        <v>0</v>
      </c>
      <c r="U101" s="38"/>
      <c r="V101" s="107"/>
      <c r="W101" s="107"/>
      <c r="X101" s="107"/>
    </row>
    <row r="102" spans="1:24" s="1" customFormat="1" ht="11.25" customHeight="1">
      <c r="A102" s="169" t="s">
        <v>50</v>
      </c>
      <c r="B102" s="170"/>
      <c r="C102" s="170"/>
      <c r="D102" s="171"/>
      <c r="E102" s="99"/>
      <c r="F102" s="120">
        <f>F101/F104</f>
        <v>0</v>
      </c>
      <c r="G102" s="98">
        <f aca="true" t="shared" si="26" ref="G102:T102">G101/G104</f>
        <v>0</v>
      </c>
      <c r="H102" s="98">
        <f t="shared" si="26"/>
        <v>0</v>
      </c>
      <c r="I102" s="98">
        <f t="shared" si="26"/>
        <v>0</v>
      </c>
      <c r="J102" s="98">
        <f t="shared" si="26"/>
        <v>0</v>
      </c>
      <c r="K102" s="98">
        <f t="shared" si="26"/>
        <v>0</v>
      </c>
      <c r="L102" s="98">
        <f t="shared" si="26"/>
        <v>0</v>
      </c>
      <c r="M102" s="98">
        <f t="shared" si="26"/>
        <v>0</v>
      </c>
      <c r="N102" s="98">
        <f t="shared" si="26"/>
        <v>0</v>
      </c>
      <c r="O102" s="98">
        <f t="shared" si="26"/>
        <v>0</v>
      </c>
      <c r="P102" s="98">
        <f t="shared" si="26"/>
        <v>0</v>
      </c>
      <c r="Q102" s="98">
        <f t="shared" si="26"/>
        <v>0</v>
      </c>
      <c r="R102" s="98">
        <f t="shared" si="26"/>
        <v>0</v>
      </c>
      <c r="S102" s="98">
        <f t="shared" si="26"/>
        <v>0</v>
      </c>
      <c r="T102" s="98">
        <f t="shared" si="26"/>
        <v>0</v>
      </c>
      <c r="U102" s="59"/>
      <c r="V102" s="107"/>
      <c r="W102" s="107"/>
      <c r="X102" s="107"/>
    </row>
    <row r="103" spans="1:24" s="1" customFormat="1" ht="11.25" customHeight="1">
      <c r="A103" s="61" t="s">
        <v>49</v>
      </c>
      <c r="B103" s="62"/>
      <c r="C103" s="62"/>
      <c r="D103" s="89">
        <f>D96+D85</f>
        <v>1540</v>
      </c>
      <c r="E103" s="136">
        <f>E96+E85</f>
        <v>170</v>
      </c>
      <c r="F103" s="39">
        <f aca="true" t="shared" si="27" ref="F103:T103">SUM(F85,F96,F101)</f>
        <v>59.76466666666666</v>
      </c>
      <c r="G103" s="38">
        <f t="shared" si="27"/>
        <v>64.472</v>
      </c>
      <c r="H103" s="38">
        <f t="shared" si="27"/>
        <v>216.05866666666668</v>
      </c>
      <c r="I103" s="38">
        <f t="shared" si="27"/>
        <v>1614.4613333333332</v>
      </c>
      <c r="J103" s="39">
        <f t="shared" si="27"/>
        <v>1.1663333333333332</v>
      </c>
      <c r="K103" s="39">
        <f t="shared" si="27"/>
        <v>0.8663333333333334</v>
      </c>
      <c r="L103" s="49">
        <f t="shared" si="27"/>
        <v>62.282666666666664</v>
      </c>
      <c r="M103" s="39">
        <f t="shared" si="27"/>
        <v>12.306583333333336</v>
      </c>
      <c r="N103" s="49">
        <f t="shared" si="27"/>
        <v>7.591666666666667</v>
      </c>
      <c r="O103" s="38">
        <f t="shared" si="27"/>
        <v>458.3971666666667</v>
      </c>
      <c r="P103" s="39">
        <f t="shared" si="27"/>
        <v>711.6691666666666</v>
      </c>
      <c r="Q103" s="38">
        <f t="shared" si="27"/>
        <v>5.235466666666667</v>
      </c>
      <c r="R103" s="40">
        <f t="shared" si="27"/>
        <v>2.6135333333333324</v>
      </c>
      <c r="S103" s="39">
        <f t="shared" si="27"/>
        <v>217.8745</v>
      </c>
      <c r="T103" s="39">
        <f t="shared" si="27"/>
        <v>10.087166666666667</v>
      </c>
      <c r="U103" s="50"/>
      <c r="V103" s="106"/>
      <c r="W103" s="106"/>
      <c r="X103" s="106"/>
    </row>
    <row r="104" spans="1:24" s="1" customFormat="1" ht="11.25" customHeight="1">
      <c r="A104" s="169" t="s">
        <v>51</v>
      </c>
      <c r="B104" s="170"/>
      <c r="C104" s="170"/>
      <c r="D104" s="171"/>
      <c r="E104" s="132"/>
      <c r="F104" s="112">
        <v>90</v>
      </c>
      <c r="G104" s="110">
        <v>92</v>
      </c>
      <c r="H104" s="110">
        <v>383</v>
      </c>
      <c r="I104" s="110">
        <v>2720</v>
      </c>
      <c r="J104" s="112">
        <v>1.4</v>
      </c>
      <c r="K104" s="112">
        <v>1.6</v>
      </c>
      <c r="L104" s="111">
        <v>70</v>
      </c>
      <c r="M104" s="112">
        <v>0.9</v>
      </c>
      <c r="N104" s="111">
        <v>12</v>
      </c>
      <c r="O104" s="111">
        <v>1200</v>
      </c>
      <c r="P104" s="111">
        <v>1200</v>
      </c>
      <c r="Q104" s="111">
        <v>14</v>
      </c>
      <c r="R104" s="110">
        <v>0.1</v>
      </c>
      <c r="S104" s="111">
        <v>300</v>
      </c>
      <c r="T104" s="112">
        <v>18</v>
      </c>
      <c r="U104" s="114"/>
      <c r="V104" s="115"/>
      <c r="W104" s="115"/>
      <c r="X104" s="115"/>
    </row>
    <row r="105" spans="1:24" s="8" customFormat="1" ht="11.25" customHeight="1">
      <c r="A105" s="176" t="s">
        <v>50</v>
      </c>
      <c r="B105" s="177"/>
      <c r="C105" s="177"/>
      <c r="D105" s="178"/>
      <c r="E105" s="127"/>
      <c r="F105" s="71">
        <f aca="true" t="shared" si="28" ref="F105:T105">F103/F104</f>
        <v>0.6640518518518518</v>
      </c>
      <c r="G105" s="44">
        <f t="shared" si="28"/>
        <v>0.7007826086956521</v>
      </c>
      <c r="H105" s="44">
        <f t="shared" si="28"/>
        <v>0.5641218450826806</v>
      </c>
      <c r="I105" s="44">
        <f t="shared" si="28"/>
        <v>0.5935519607843137</v>
      </c>
      <c r="J105" s="44">
        <f t="shared" si="28"/>
        <v>0.8330952380952381</v>
      </c>
      <c r="K105" s="44">
        <f t="shared" si="28"/>
        <v>0.5414583333333334</v>
      </c>
      <c r="L105" s="44">
        <f t="shared" si="28"/>
        <v>0.889752380952381</v>
      </c>
      <c r="M105" s="45">
        <f t="shared" si="28"/>
        <v>13.673981481481484</v>
      </c>
      <c r="N105" s="45">
        <f t="shared" si="28"/>
        <v>0.6326388888888889</v>
      </c>
      <c r="O105" s="44">
        <f t="shared" si="28"/>
        <v>0.38199763888888894</v>
      </c>
      <c r="P105" s="44">
        <f t="shared" si="28"/>
        <v>0.5930576388888888</v>
      </c>
      <c r="Q105" s="44">
        <f t="shared" si="28"/>
        <v>0.37396190476190483</v>
      </c>
      <c r="R105" s="45">
        <f t="shared" si="28"/>
        <v>26.13533333333332</v>
      </c>
      <c r="S105" s="44">
        <f t="shared" si="28"/>
        <v>0.7262483333333334</v>
      </c>
      <c r="T105" s="44">
        <f t="shared" si="28"/>
        <v>0.5603981481481481</v>
      </c>
      <c r="U105" s="51"/>
      <c r="V105" s="52"/>
      <c r="W105" s="52"/>
      <c r="X105" s="52"/>
    </row>
    <row r="106" spans="1:24" s="1" customFormat="1" ht="11.25" customHeight="1">
      <c r="A106" s="188"/>
      <c r="B106" s="188"/>
      <c r="C106" s="188"/>
      <c r="D106" s="188"/>
      <c r="E106" s="188"/>
      <c r="F106" s="188"/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3"/>
      <c r="V106" s="25"/>
      <c r="W106" s="25"/>
      <c r="X106" s="25"/>
    </row>
    <row r="107" spans="1:24" s="1" customFormat="1" ht="11.25" customHeight="1">
      <c r="A107" s="58" t="s">
        <v>42</v>
      </c>
      <c r="B107" s="54"/>
      <c r="C107" s="54"/>
      <c r="D107" s="2"/>
      <c r="E107" s="2"/>
      <c r="F107" s="105"/>
      <c r="G107" s="197" t="s">
        <v>33</v>
      </c>
      <c r="H107" s="197"/>
      <c r="I107" s="197"/>
      <c r="J107" s="104"/>
      <c r="K107" s="104"/>
      <c r="L107" s="193" t="s">
        <v>1</v>
      </c>
      <c r="M107" s="193"/>
      <c r="N107" s="189"/>
      <c r="O107" s="189"/>
      <c r="P107" s="189"/>
      <c r="Q107" s="189"/>
      <c r="R107" s="104"/>
      <c r="S107" s="104"/>
      <c r="T107" s="104"/>
      <c r="U107" s="14"/>
      <c r="V107" s="20"/>
      <c r="W107" s="20"/>
      <c r="X107" s="20"/>
    </row>
    <row r="108" spans="1:24" s="1" customFormat="1" ht="11.25" customHeight="1">
      <c r="A108" s="54"/>
      <c r="B108" s="54"/>
      <c r="C108" s="54"/>
      <c r="D108" s="186" t="s">
        <v>2</v>
      </c>
      <c r="E108" s="186"/>
      <c r="F108" s="186"/>
      <c r="G108" s="7">
        <v>1</v>
      </c>
      <c r="H108" s="104"/>
      <c r="I108" s="2"/>
      <c r="J108" s="2"/>
      <c r="K108" s="2"/>
      <c r="L108" s="186" t="s">
        <v>3</v>
      </c>
      <c r="M108" s="186"/>
      <c r="N108" s="205" t="s">
        <v>44</v>
      </c>
      <c r="O108" s="205"/>
      <c r="P108" s="205"/>
      <c r="Q108" s="205"/>
      <c r="R108" s="205"/>
      <c r="S108" s="205"/>
      <c r="T108" s="205"/>
      <c r="U108" s="15"/>
      <c r="V108" s="21"/>
      <c r="W108" s="21"/>
      <c r="X108" s="21"/>
    </row>
    <row r="109" spans="1:24" s="1" customFormat="1" ht="21.75" customHeight="1">
      <c r="A109" s="190" t="s">
        <v>67</v>
      </c>
      <c r="B109" s="190" t="s">
        <v>5</v>
      </c>
      <c r="C109" s="190"/>
      <c r="D109" s="190" t="s">
        <v>6</v>
      </c>
      <c r="E109" s="129"/>
      <c r="F109" s="216" t="s">
        <v>7</v>
      </c>
      <c r="G109" s="216"/>
      <c r="H109" s="216"/>
      <c r="I109" s="190" t="s">
        <v>8</v>
      </c>
      <c r="J109" s="216" t="s">
        <v>9</v>
      </c>
      <c r="K109" s="216"/>
      <c r="L109" s="216"/>
      <c r="M109" s="216"/>
      <c r="N109" s="216"/>
      <c r="O109" s="216" t="s">
        <v>10</v>
      </c>
      <c r="P109" s="216"/>
      <c r="Q109" s="216"/>
      <c r="R109" s="216"/>
      <c r="S109" s="216"/>
      <c r="T109" s="216"/>
      <c r="U109" s="9"/>
      <c r="V109" s="22"/>
      <c r="W109" s="22"/>
      <c r="X109" s="22"/>
    </row>
    <row r="110" spans="1:24" s="1" customFormat="1" ht="21" customHeight="1">
      <c r="A110" s="191"/>
      <c r="B110" s="200"/>
      <c r="C110" s="201"/>
      <c r="D110" s="191"/>
      <c r="E110" s="130"/>
      <c r="F110" s="82" t="s">
        <v>11</v>
      </c>
      <c r="G110" s="134" t="s">
        <v>12</v>
      </c>
      <c r="H110" s="134" t="s">
        <v>13</v>
      </c>
      <c r="I110" s="191"/>
      <c r="J110" s="134" t="s">
        <v>14</v>
      </c>
      <c r="K110" s="134" t="s">
        <v>45</v>
      </c>
      <c r="L110" s="134" t="s">
        <v>15</v>
      </c>
      <c r="M110" s="134" t="s">
        <v>16</v>
      </c>
      <c r="N110" s="134" t="s">
        <v>17</v>
      </c>
      <c r="O110" s="134" t="s">
        <v>18</v>
      </c>
      <c r="P110" s="134" t="s">
        <v>19</v>
      </c>
      <c r="Q110" s="134" t="s">
        <v>46</v>
      </c>
      <c r="R110" s="134" t="s">
        <v>47</v>
      </c>
      <c r="S110" s="134" t="s">
        <v>20</v>
      </c>
      <c r="T110" s="134" t="s">
        <v>21</v>
      </c>
      <c r="U110" s="9"/>
      <c r="V110" s="22"/>
      <c r="W110" s="22"/>
      <c r="X110" s="22"/>
    </row>
    <row r="111" spans="1:24" s="1" customFormat="1" ht="11.25" customHeight="1">
      <c r="A111" s="133">
        <v>1</v>
      </c>
      <c r="B111" s="218">
        <v>2</v>
      </c>
      <c r="C111" s="218"/>
      <c r="D111" s="37">
        <v>3</v>
      </c>
      <c r="E111" s="37"/>
      <c r="F111" s="83">
        <v>4</v>
      </c>
      <c r="G111" s="37">
        <v>5</v>
      </c>
      <c r="H111" s="37">
        <v>6</v>
      </c>
      <c r="I111" s="37">
        <v>7</v>
      </c>
      <c r="J111" s="37">
        <v>8</v>
      </c>
      <c r="K111" s="37">
        <v>9</v>
      </c>
      <c r="L111" s="37">
        <v>10</v>
      </c>
      <c r="M111" s="37">
        <v>11</v>
      </c>
      <c r="N111" s="37">
        <v>12</v>
      </c>
      <c r="O111" s="37">
        <v>13</v>
      </c>
      <c r="P111" s="37">
        <v>14</v>
      </c>
      <c r="Q111" s="37">
        <v>15</v>
      </c>
      <c r="R111" s="37">
        <v>16</v>
      </c>
      <c r="S111" s="37">
        <v>17</v>
      </c>
      <c r="T111" s="37">
        <v>18</v>
      </c>
      <c r="U111" s="10"/>
      <c r="V111" s="23"/>
      <c r="W111" s="23"/>
      <c r="X111" s="23"/>
    </row>
    <row r="112" spans="1:24" s="1" customFormat="1" ht="11.25" customHeight="1">
      <c r="A112" s="172" t="s">
        <v>25</v>
      </c>
      <c r="B112" s="172"/>
      <c r="C112" s="172"/>
      <c r="D112" s="172"/>
      <c r="E112" s="172"/>
      <c r="F112" s="172"/>
      <c r="G112" s="172"/>
      <c r="H112" s="172"/>
      <c r="I112" s="172"/>
      <c r="J112" s="172"/>
      <c r="K112" s="172"/>
      <c r="L112" s="172"/>
      <c r="M112" s="172"/>
      <c r="N112" s="172"/>
      <c r="O112" s="172"/>
      <c r="P112" s="172"/>
      <c r="Q112" s="172"/>
      <c r="R112" s="172"/>
      <c r="S112" s="172"/>
      <c r="T112" s="172"/>
      <c r="U112" s="11"/>
      <c r="V112" s="24"/>
      <c r="W112" s="24"/>
      <c r="X112" s="24"/>
    </row>
    <row r="113" spans="1:24" s="104" customFormat="1" ht="11.25" customHeight="1">
      <c r="A113" s="94">
        <v>338</v>
      </c>
      <c r="B113" s="166" t="s">
        <v>98</v>
      </c>
      <c r="C113" s="166"/>
      <c r="D113" s="111">
        <v>130</v>
      </c>
      <c r="E113" s="112">
        <v>31.4</v>
      </c>
      <c r="F113" s="112">
        <v>0.4</v>
      </c>
      <c r="G113" s="112">
        <v>0.4</v>
      </c>
      <c r="H113" s="112">
        <v>9.8</v>
      </c>
      <c r="I113" s="112">
        <f>F113*4+G113*9+H113*4</f>
        <v>44.400000000000006</v>
      </c>
      <c r="J113" s="112">
        <v>0.04</v>
      </c>
      <c r="K113" s="112">
        <v>0.02</v>
      </c>
      <c r="L113" s="111">
        <v>10</v>
      </c>
      <c r="M113" s="111">
        <v>0.02</v>
      </c>
      <c r="N113" s="112">
        <v>0.2</v>
      </c>
      <c r="O113" s="112">
        <v>16</v>
      </c>
      <c r="P113" s="112">
        <v>11</v>
      </c>
      <c r="Q113" s="111">
        <v>0.03</v>
      </c>
      <c r="R113" s="111">
        <v>0.002</v>
      </c>
      <c r="S113" s="112">
        <v>9</v>
      </c>
      <c r="T113" s="112">
        <v>2.2</v>
      </c>
      <c r="U113" s="114"/>
      <c r="V113" s="28"/>
      <c r="W113" s="28"/>
      <c r="X113" s="29"/>
    </row>
    <row r="114" spans="1:24" s="104" customFormat="1" ht="12" customHeight="1">
      <c r="A114" s="94">
        <v>15</v>
      </c>
      <c r="B114" s="167" t="s">
        <v>63</v>
      </c>
      <c r="C114" s="168"/>
      <c r="D114" s="111">
        <v>25</v>
      </c>
      <c r="E114" s="112">
        <v>16</v>
      </c>
      <c r="F114" s="112">
        <f>2.32*D114/10</f>
        <v>5.799999999999999</v>
      </c>
      <c r="G114" s="112">
        <f>3.4*D114/10</f>
        <v>8.5</v>
      </c>
      <c r="H114" s="112">
        <f>0.01*D114/10</f>
        <v>0.025</v>
      </c>
      <c r="I114" s="112">
        <f>F114*4+G114*9+H114*4</f>
        <v>99.79999999999998</v>
      </c>
      <c r="J114" s="112">
        <f>0.004*D114/10</f>
        <v>0.01</v>
      </c>
      <c r="K114" s="112">
        <f>0.03*D114/10</f>
        <v>0.075</v>
      </c>
      <c r="L114" s="112">
        <f>0.07*D114/10</f>
        <v>0.17500000000000002</v>
      </c>
      <c r="M114" s="113">
        <f>0.023*D114/10</f>
        <v>0.057499999999999996</v>
      </c>
      <c r="N114" s="112">
        <f>0.05*D114/10</f>
        <v>0.125</v>
      </c>
      <c r="O114" s="112">
        <f>88*D114/10</f>
        <v>220</v>
      </c>
      <c r="P114" s="112">
        <f>50*D114/10</f>
        <v>125</v>
      </c>
      <c r="Q114" s="112">
        <f>0.4*D114/10</f>
        <v>1</v>
      </c>
      <c r="R114" s="113">
        <f>0.02*D114/10</f>
        <v>0.05</v>
      </c>
      <c r="S114" s="112">
        <f>3.5*D114/10</f>
        <v>8.75</v>
      </c>
      <c r="T114" s="112">
        <f>0.13*D114/10</f>
        <v>0.325</v>
      </c>
      <c r="U114" s="114"/>
      <c r="V114" s="28"/>
      <c r="W114" s="28"/>
      <c r="X114" s="29"/>
    </row>
    <row r="115" spans="1:24" s="104" customFormat="1" ht="21.75" customHeight="1">
      <c r="A115" s="133">
        <v>173</v>
      </c>
      <c r="B115" s="167" t="s">
        <v>88</v>
      </c>
      <c r="C115" s="168"/>
      <c r="D115" s="111">
        <v>250</v>
      </c>
      <c r="E115" s="112">
        <v>17.3</v>
      </c>
      <c r="F115" s="112">
        <v>9.12</v>
      </c>
      <c r="G115" s="112">
        <v>15.62</v>
      </c>
      <c r="H115" s="112">
        <v>67.87</v>
      </c>
      <c r="I115" s="112">
        <v>448.62</v>
      </c>
      <c r="J115" s="112">
        <v>1.17</v>
      </c>
      <c r="K115" s="112">
        <v>0.22</v>
      </c>
      <c r="L115" s="112">
        <v>4.18</v>
      </c>
      <c r="M115" s="113">
        <v>0.046</v>
      </c>
      <c r="N115" s="109">
        <v>1.62</v>
      </c>
      <c r="O115" s="112">
        <v>184.5</v>
      </c>
      <c r="P115" s="112">
        <v>248.85</v>
      </c>
      <c r="Q115" s="111">
        <v>0</v>
      </c>
      <c r="R115" s="113">
        <v>0</v>
      </c>
      <c r="S115" s="112">
        <v>7225</v>
      </c>
      <c r="T115" s="112">
        <v>1.62</v>
      </c>
      <c r="U115" s="114"/>
      <c r="V115" s="222" t="s">
        <v>59</v>
      </c>
      <c r="W115" s="222" t="s">
        <v>60</v>
      </c>
      <c r="X115" s="222" t="s">
        <v>61</v>
      </c>
    </row>
    <row r="116" spans="1:24" s="104" customFormat="1" ht="12.75" customHeight="1">
      <c r="A116" s="133">
        <v>376</v>
      </c>
      <c r="B116" s="166" t="s">
        <v>93</v>
      </c>
      <c r="C116" s="166"/>
      <c r="D116" s="111">
        <v>200</v>
      </c>
      <c r="E116" s="112">
        <v>2.2</v>
      </c>
      <c r="F116" s="112">
        <v>0.2</v>
      </c>
      <c r="G116" s="112">
        <v>0.05</v>
      </c>
      <c r="H116" s="112">
        <v>15.01</v>
      </c>
      <c r="I116" s="112">
        <v>61.29</v>
      </c>
      <c r="J116" s="112">
        <v>0</v>
      </c>
      <c r="K116" s="112">
        <v>0.01</v>
      </c>
      <c r="L116" s="112">
        <v>9</v>
      </c>
      <c r="M116" s="109">
        <v>0</v>
      </c>
      <c r="N116" s="112">
        <v>0.045</v>
      </c>
      <c r="O116" s="112">
        <v>5.25</v>
      </c>
      <c r="P116" s="112">
        <v>8.24</v>
      </c>
      <c r="Q116" s="112">
        <v>0.008</v>
      </c>
      <c r="R116" s="113">
        <v>0</v>
      </c>
      <c r="S116" s="112">
        <v>4.4</v>
      </c>
      <c r="T116" s="112">
        <v>0.87</v>
      </c>
      <c r="U116" s="114"/>
      <c r="V116" s="222"/>
      <c r="W116" s="222"/>
      <c r="X116" s="222"/>
    </row>
    <row r="117" spans="1:24" s="104" customFormat="1" ht="12.75" customHeight="1">
      <c r="A117" s="117" t="s">
        <v>54</v>
      </c>
      <c r="B117" s="167" t="s">
        <v>40</v>
      </c>
      <c r="C117" s="168"/>
      <c r="D117" s="111">
        <v>40</v>
      </c>
      <c r="E117" s="112">
        <v>3.1</v>
      </c>
      <c r="F117" s="112">
        <f>1.52*D117/30</f>
        <v>2.0266666666666664</v>
      </c>
      <c r="G117" s="113">
        <f>0.16*D117/30</f>
        <v>0.21333333333333335</v>
      </c>
      <c r="H117" s="113">
        <f>9.84*D117/30</f>
        <v>13.120000000000001</v>
      </c>
      <c r="I117" s="113">
        <f>F117*4+G117*9+H117*4</f>
        <v>62.50666666666667</v>
      </c>
      <c r="J117" s="113">
        <f>0.02*D117/30</f>
        <v>0.02666666666666667</v>
      </c>
      <c r="K117" s="113">
        <f>0.01*D117/30</f>
        <v>0.013333333333333334</v>
      </c>
      <c r="L117" s="113">
        <f>0.44*D117/30</f>
        <v>0.5866666666666667</v>
      </c>
      <c r="M117" s="113">
        <v>0</v>
      </c>
      <c r="N117" s="113">
        <f>0.7*D117/30</f>
        <v>0.9333333333333333</v>
      </c>
      <c r="O117" s="113">
        <f>4*D117/30</f>
        <v>5.333333333333333</v>
      </c>
      <c r="P117" s="113">
        <f>13*D117/30</f>
        <v>17.333333333333332</v>
      </c>
      <c r="Q117" s="113">
        <f>0.008*D117/30</f>
        <v>0.010666666666666666</v>
      </c>
      <c r="R117" s="113">
        <f>0.001*D117/30</f>
        <v>0.0013333333333333333</v>
      </c>
      <c r="S117" s="113">
        <v>0</v>
      </c>
      <c r="T117" s="113">
        <f>0.22*D117/30</f>
        <v>0.29333333333333333</v>
      </c>
      <c r="U117" s="114"/>
      <c r="V117" s="222"/>
      <c r="W117" s="222"/>
      <c r="X117" s="222"/>
    </row>
    <row r="118" spans="1:20" s="100" customFormat="1" ht="12.75" customHeight="1">
      <c r="A118" s="143" t="s">
        <v>54</v>
      </c>
      <c r="B118" s="187" t="s">
        <v>94</v>
      </c>
      <c r="C118" s="187"/>
      <c r="D118" s="124">
        <v>20</v>
      </c>
      <c r="E118" s="101">
        <v>10</v>
      </c>
      <c r="F118" s="101">
        <v>0.4</v>
      </c>
      <c r="G118" s="101">
        <v>0.4</v>
      </c>
      <c r="H118" s="101">
        <v>9.8</v>
      </c>
      <c r="I118" s="101">
        <f>F118*4+G118*9+H118*4</f>
        <v>44.400000000000006</v>
      </c>
      <c r="J118" s="101">
        <v>0.04</v>
      </c>
      <c r="K118" s="101">
        <v>0.02</v>
      </c>
      <c r="L118" s="124">
        <v>10</v>
      </c>
      <c r="M118" s="124">
        <v>0.02</v>
      </c>
      <c r="N118" s="101">
        <v>0.2</v>
      </c>
      <c r="O118" s="101">
        <v>16</v>
      </c>
      <c r="P118" s="101">
        <v>11</v>
      </c>
      <c r="Q118" s="124">
        <v>0.03</v>
      </c>
      <c r="R118" s="124">
        <v>0.002</v>
      </c>
      <c r="S118" s="101">
        <v>9</v>
      </c>
      <c r="T118" s="101">
        <v>2.2</v>
      </c>
    </row>
    <row r="119" spans="1:25" s="1" customFormat="1" ht="11.25" customHeight="1">
      <c r="A119" s="60" t="s">
        <v>26</v>
      </c>
      <c r="B119" s="60"/>
      <c r="C119" s="60"/>
      <c r="D119" s="65">
        <f>SUM(D113:D118)</f>
        <v>665</v>
      </c>
      <c r="E119" s="118">
        <f>SUM(E113:E118)</f>
        <v>80</v>
      </c>
      <c r="F119" s="39">
        <f>SUM(F113:F118)</f>
        <v>17.946666666666662</v>
      </c>
      <c r="G119" s="39">
        <f aca="true" t="shared" si="29" ref="G119:T119">SUM(G113:G118)</f>
        <v>25.183333333333334</v>
      </c>
      <c r="H119" s="39">
        <f t="shared" si="29"/>
        <v>115.62500000000001</v>
      </c>
      <c r="I119" s="39">
        <f t="shared" si="29"/>
        <v>761.0166666666665</v>
      </c>
      <c r="J119" s="39">
        <f t="shared" si="29"/>
        <v>1.2866666666666666</v>
      </c>
      <c r="K119" s="39">
        <f t="shared" si="29"/>
        <v>0.35833333333333334</v>
      </c>
      <c r="L119" s="39">
        <f t="shared" si="29"/>
        <v>33.94166666666666</v>
      </c>
      <c r="M119" s="39">
        <f t="shared" si="29"/>
        <v>0.1435</v>
      </c>
      <c r="N119" s="39">
        <f t="shared" si="29"/>
        <v>3.1233333333333335</v>
      </c>
      <c r="O119" s="39">
        <f t="shared" si="29"/>
        <v>447.0833333333333</v>
      </c>
      <c r="P119" s="39">
        <f t="shared" si="29"/>
        <v>421.42333333333335</v>
      </c>
      <c r="Q119" s="39">
        <f t="shared" si="29"/>
        <v>1.0786666666666667</v>
      </c>
      <c r="R119" s="39">
        <f t="shared" si="29"/>
        <v>0.05533333333333334</v>
      </c>
      <c r="S119" s="39">
        <f t="shared" si="29"/>
        <v>7256.15</v>
      </c>
      <c r="T119" s="39">
        <f t="shared" si="29"/>
        <v>7.508333333333334</v>
      </c>
      <c r="U119" s="38"/>
      <c r="V119" s="71">
        <f>AVERAGE(I120,I152,I189,I223,I259)</f>
        <v>34.077244117647055</v>
      </c>
      <c r="W119" s="71" t="e">
        <f>AVERAGE(I130,I164,#REF!,I234,#REF!)</f>
        <v>#REF!</v>
      </c>
      <c r="X119" s="71">
        <f>AVERAGE(I135,I170,I206,I239,I275)</f>
        <v>825.2270666666667</v>
      </c>
      <c r="Y119" s="103"/>
    </row>
    <row r="120" spans="1:24" s="1" customFormat="1" ht="11.25" customHeight="1">
      <c r="A120" s="169" t="s">
        <v>50</v>
      </c>
      <c r="B120" s="170"/>
      <c r="C120" s="170"/>
      <c r="D120" s="171"/>
      <c r="E120" s="132"/>
      <c r="F120" s="95">
        <f aca="true" t="shared" si="30" ref="F120:T120">F119/F137</f>
        <v>0.19940740740740737</v>
      </c>
      <c r="G120" s="96">
        <f t="shared" si="30"/>
        <v>0.273731884057971</v>
      </c>
      <c r="H120" s="96">
        <f t="shared" si="30"/>
        <v>0.30189295039164493</v>
      </c>
      <c r="I120" s="96">
        <f t="shared" si="30"/>
        <v>0.2797855392156862</v>
      </c>
      <c r="J120" s="96">
        <f t="shared" si="30"/>
        <v>0.9190476190476191</v>
      </c>
      <c r="K120" s="96">
        <f t="shared" si="30"/>
        <v>0.22395833333333331</v>
      </c>
      <c r="L120" s="96">
        <f t="shared" si="30"/>
        <v>0.4848809523809523</v>
      </c>
      <c r="M120" s="96">
        <f t="shared" si="30"/>
        <v>0.15944444444444442</v>
      </c>
      <c r="N120" s="96">
        <f t="shared" si="30"/>
        <v>0.2602777777777778</v>
      </c>
      <c r="O120" s="96">
        <f t="shared" si="30"/>
        <v>0.37256944444444445</v>
      </c>
      <c r="P120" s="96">
        <f t="shared" si="30"/>
        <v>0.35118611111111114</v>
      </c>
      <c r="Q120" s="96">
        <f t="shared" si="30"/>
        <v>0.07704761904761905</v>
      </c>
      <c r="R120" s="96">
        <f t="shared" si="30"/>
        <v>0.5533333333333333</v>
      </c>
      <c r="S120" s="96">
        <f t="shared" si="30"/>
        <v>24.187166666666666</v>
      </c>
      <c r="T120" s="96">
        <f t="shared" si="30"/>
        <v>0.41712962962962963</v>
      </c>
      <c r="U120" s="108"/>
      <c r="V120" s="107"/>
      <c r="W120" s="107"/>
      <c r="X120" s="107"/>
    </row>
    <row r="121" spans="1:24" s="1" customFormat="1" ht="11.25" customHeight="1">
      <c r="A121" s="172" t="s">
        <v>27</v>
      </c>
      <c r="B121" s="172"/>
      <c r="C121" s="172"/>
      <c r="D121" s="172"/>
      <c r="E121" s="172"/>
      <c r="F121" s="172"/>
      <c r="G121" s="172"/>
      <c r="H121" s="172"/>
      <c r="I121" s="172"/>
      <c r="J121" s="172"/>
      <c r="K121" s="172"/>
      <c r="L121" s="172"/>
      <c r="M121" s="172"/>
      <c r="N121" s="172"/>
      <c r="O121" s="172"/>
      <c r="P121" s="172"/>
      <c r="Q121" s="172"/>
      <c r="R121" s="172"/>
      <c r="S121" s="172"/>
      <c r="T121" s="172"/>
      <c r="U121" s="11"/>
      <c r="V121" s="24"/>
      <c r="W121" s="24"/>
      <c r="X121" s="24"/>
    </row>
    <row r="122" spans="1:24" s="105" customFormat="1" ht="21.75" customHeight="1">
      <c r="A122" s="133">
        <v>24</v>
      </c>
      <c r="B122" s="210" t="s">
        <v>62</v>
      </c>
      <c r="C122" s="211"/>
      <c r="D122" s="111">
        <v>90</v>
      </c>
      <c r="E122" s="112">
        <v>16.75</v>
      </c>
      <c r="F122" s="112">
        <f>0.3*D122/60</f>
        <v>0.45</v>
      </c>
      <c r="G122" s="112">
        <f>2*D122/60</f>
        <v>3</v>
      </c>
      <c r="H122" s="112">
        <f>1.6*D122/60</f>
        <v>2.4</v>
      </c>
      <c r="I122" s="112">
        <f aca="true" t="shared" si="31" ref="I122:I128">F122*4+G122*9+H122*4</f>
        <v>38.4</v>
      </c>
      <c r="J122" s="112">
        <f>0.06*D122/60</f>
        <v>0.09</v>
      </c>
      <c r="K122" s="112">
        <f>0.04*D122/60</f>
        <v>0.060000000000000005</v>
      </c>
      <c r="L122" s="112">
        <f>12.4*D122/60</f>
        <v>18.6</v>
      </c>
      <c r="M122" s="113">
        <f>0.001*D122/60</f>
        <v>0.0015</v>
      </c>
      <c r="N122" s="112">
        <f>1.5*D122/60</f>
        <v>2.25</v>
      </c>
      <c r="O122" s="112">
        <f>28.2*D122/60</f>
        <v>42.3</v>
      </c>
      <c r="P122" s="112">
        <f>32.3*D122/60</f>
        <v>48.449999999999996</v>
      </c>
      <c r="Q122" s="112">
        <f>0.3*D122/60</f>
        <v>0.45</v>
      </c>
      <c r="R122" s="113">
        <f>0.002*D122/60</f>
        <v>0.003</v>
      </c>
      <c r="S122" s="112">
        <f>18.6*D122/60</f>
        <v>27.900000000000002</v>
      </c>
      <c r="T122" s="112">
        <f>0.5*D122/60</f>
        <v>0.75</v>
      </c>
      <c r="U122" s="114"/>
      <c r="V122" s="115"/>
      <c r="W122" s="115"/>
      <c r="X122" s="115"/>
    </row>
    <row r="123" spans="1:24" s="104" customFormat="1" ht="22.5" customHeight="1">
      <c r="A123" s="133">
        <v>102</v>
      </c>
      <c r="B123" s="167" t="s">
        <v>72</v>
      </c>
      <c r="C123" s="168"/>
      <c r="D123" s="109">
        <v>250</v>
      </c>
      <c r="E123" s="112">
        <v>10.22</v>
      </c>
      <c r="F123" s="112">
        <v>6.22</v>
      </c>
      <c r="G123" s="112">
        <v>3.99</v>
      </c>
      <c r="H123" s="112">
        <v>21.73</v>
      </c>
      <c r="I123" s="112">
        <f t="shared" si="31"/>
        <v>147.71</v>
      </c>
      <c r="J123" s="112">
        <v>0.27</v>
      </c>
      <c r="K123" s="112">
        <v>0.09</v>
      </c>
      <c r="L123" s="112">
        <v>9</v>
      </c>
      <c r="M123" s="113">
        <v>0.001</v>
      </c>
      <c r="N123" s="112">
        <v>0.257</v>
      </c>
      <c r="O123" s="112">
        <v>54.13</v>
      </c>
      <c r="P123" s="112">
        <v>183.2</v>
      </c>
      <c r="Q123" s="112">
        <v>1.157</v>
      </c>
      <c r="R123" s="113">
        <v>0.013</v>
      </c>
      <c r="S123" s="112">
        <v>49.63</v>
      </c>
      <c r="T123" s="112">
        <v>1.03</v>
      </c>
      <c r="U123" s="114"/>
      <c r="V123" s="115"/>
      <c r="W123" s="115"/>
      <c r="X123" s="115"/>
    </row>
    <row r="124" spans="1:24" s="104" customFormat="1" ht="21.75" customHeight="1">
      <c r="A124" s="67">
        <v>268</v>
      </c>
      <c r="B124" s="167" t="s">
        <v>73</v>
      </c>
      <c r="C124" s="168"/>
      <c r="D124" s="73">
        <v>90</v>
      </c>
      <c r="E124" s="73">
        <v>44.79</v>
      </c>
      <c r="F124" s="125">
        <f>14.8*D124/80</f>
        <v>16.65</v>
      </c>
      <c r="G124" s="125">
        <f>20.69*D124/80</f>
        <v>23.27625</v>
      </c>
      <c r="H124" s="125">
        <f>3.81*D124/80</f>
        <v>4.28625</v>
      </c>
      <c r="I124" s="125">
        <f t="shared" si="31"/>
        <v>293.23125</v>
      </c>
      <c r="J124" s="74">
        <f>0.18*D124/80</f>
        <v>0.20249999999999999</v>
      </c>
      <c r="K124" s="125">
        <f>0.12*D124/80</f>
        <v>0.13499999999999998</v>
      </c>
      <c r="L124" s="125">
        <f>0.43*D124/80</f>
        <v>0.48375</v>
      </c>
      <c r="M124" s="74">
        <v>0.099</v>
      </c>
      <c r="N124" s="74">
        <f>0.01*D124/80</f>
        <v>0.01125</v>
      </c>
      <c r="O124" s="125">
        <f>48.45*D124/80</f>
        <v>54.50625</v>
      </c>
      <c r="P124" s="125">
        <f>177.9*D124/80</f>
        <v>200.1375</v>
      </c>
      <c r="Q124" s="74">
        <f>2.28*D124/80</f>
        <v>2.565</v>
      </c>
      <c r="R124" s="74">
        <f>0.04*D124/80</f>
        <v>0.045</v>
      </c>
      <c r="S124" s="125">
        <f>24.45*D124/80</f>
        <v>27.50625</v>
      </c>
      <c r="T124" s="125">
        <f>1.93*D124/80</f>
        <v>2.1712499999999997</v>
      </c>
      <c r="U124" s="32"/>
      <c r="V124" s="33"/>
      <c r="W124" s="33"/>
      <c r="X124" s="33"/>
    </row>
    <row r="125" spans="1:24" s="104" customFormat="1" ht="29.25" customHeight="1">
      <c r="A125" s="133">
        <v>203</v>
      </c>
      <c r="B125" s="167" t="s">
        <v>65</v>
      </c>
      <c r="C125" s="168"/>
      <c r="D125" s="111">
        <v>180</v>
      </c>
      <c r="E125" s="112">
        <v>8.37</v>
      </c>
      <c r="F125" s="112">
        <f>5.7*D125/150</f>
        <v>6.84</v>
      </c>
      <c r="G125" s="112">
        <f>3.43*D125/150</f>
        <v>4.116</v>
      </c>
      <c r="H125" s="112">
        <f>36.45*D125/150</f>
        <v>43.74000000000001</v>
      </c>
      <c r="I125" s="112">
        <f t="shared" si="31"/>
        <v>239.36400000000003</v>
      </c>
      <c r="J125" s="112">
        <f>0.09*D125/150</f>
        <v>0.108</v>
      </c>
      <c r="K125" s="112">
        <f>0.03*D125/150</f>
        <v>0.036</v>
      </c>
      <c r="L125" s="112">
        <v>0</v>
      </c>
      <c r="M125" s="113">
        <f>0.03*D125/150</f>
        <v>0.036</v>
      </c>
      <c r="N125" s="112">
        <f>1.25*D125/150</f>
        <v>1.5</v>
      </c>
      <c r="O125" s="112">
        <f>13.28*D125/150</f>
        <v>15.936</v>
      </c>
      <c r="P125" s="112">
        <f>46.21*D125/150</f>
        <v>55.452</v>
      </c>
      <c r="Q125" s="112">
        <f>0.78*D125/150</f>
        <v>0.936</v>
      </c>
      <c r="R125" s="113">
        <f>0.0015*D125/150</f>
        <v>0.0018000000000000002</v>
      </c>
      <c r="S125" s="112">
        <f>8.47*D125/150</f>
        <v>10.164000000000001</v>
      </c>
      <c r="T125" s="112">
        <f>0.86*D125/150</f>
        <v>1.032</v>
      </c>
      <c r="U125" s="114"/>
      <c r="V125" s="115"/>
      <c r="W125" s="115"/>
      <c r="X125" s="115"/>
    </row>
    <row r="126" spans="1:24" s="104" customFormat="1" ht="9.75">
      <c r="A126" s="117">
        <v>349</v>
      </c>
      <c r="B126" s="167" t="s">
        <v>75</v>
      </c>
      <c r="C126" s="168"/>
      <c r="D126" s="111">
        <v>200</v>
      </c>
      <c r="E126" s="112">
        <v>4.73</v>
      </c>
      <c r="F126" s="112">
        <v>0.22</v>
      </c>
      <c r="G126" s="109"/>
      <c r="H126" s="112">
        <v>24.42</v>
      </c>
      <c r="I126" s="112">
        <f t="shared" si="31"/>
        <v>98.56</v>
      </c>
      <c r="J126" s="109"/>
      <c r="K126" s="109"/>
      <c r="L126" s="112">
        <v>26.11</v>
      </c>
      <c r="M126" s="109"/>
      <c r="N126" s="109"/>
      <c r="O126" s="110">
        <v>22.6</v>
      </c>
      <c r="P126" s="110">
        <v>7.7</v>
      </c>
      <c r="Q126" s="111">
        <v>0</v>
      </c>
      <c r="R126" s="111">
        <v>0</v>
      </c>
      <c r="S126" s="110">
        <v>3</v>
      </c>
      <c r="T126" s="112">
        <v>0.66</v>
      </c>
      <c r="U126" s="114"/>
      <c r="V126" s="115"/>
      <c r="W126" s="115"/>
      <c r="X126" s="115"/>
    </row>
    <row r="127" spans="1:24" s="104" customFormat="1" ht="11.25" customHeight="1">
      <c r="A127" s="72" t="s">
        <v>54</v>
      </c>
      <c r="B127" s="167" t="s">
        <v>35</v>
      </c>
      <c r="C127" s="168"/>
      <c r="D127" s="111">
        <v>40</v>
      </c>
      <c r="E127" s="112">
        <v>2.04</v>
      </c>
      <c r="F127" s="112">
        <f>2.64*D127/40</f>
        <v>2.64</v>
      </c>
      <c r="G127" s="112">
        <f>0.48*D127/40</f>
        <v>0.48</v>
      </c>
      <c r="H127" s="112">
        <f>13.68*D127/40</f>
        <v>13.680000000000001</v>
      </c>
      <c r="I127" s="112">
        <f t="shared" si="31"/>
        <v>69.60000000000001</v>
      </c>
      <c r="J127" s="109">
        <f>0.08*D127/40</f>
        <v>0.08</v>
      </c>
      <c r="K127" s="112">
        <f>0.04*D127/40</f>
        <v>0.04</v>
      </c>
      <c r="L127" s="111">
        <v>0</v>
      </c>
      <c r="M127" s="111">
        <v>0</v>
      </c>
      <c r="N127" s="112">
        <f>2.4*D127/40</f>
        <v>2.4</v>
      </c>
      <c r="O127" s="112">
        <f>14*D127/40</f>
        <v>14</v>
      </c>
      <c r="P127" s="112">
        <f>63.2*D127/40</f>
        <v>63.2</v>
      </c>
      <c r="Q127" s="112">
        <f>1.2*D127/40</f>
        <v>1.2</v>
      </c>
      <c r="R127" s="113">
        <f>0.001*D127/40</f>
        <v>0.001</v>
      </c>
      <c r="S127" s="112">
        <f>9.4*D127/40</f>
        <v>9.4</v>
      </c>
      <c r="T127" s="109">
        <f>0.78*D127/40</f>
        <v>0.78</v>
      </c>
      <c r="U127" s="30"/>
      <c r="V127" s="31"/>
      <c r="W127" s="31"/>
      <c r="X127" s="31"/>
    </row>
    <row r="128" spans="1:24" s="104" customFormat="1" ht="11.25" customHeight="1">
      <c r="A128" s="117" t="s">
        <v>54</v>
      </c>
      <c r="B128" s="167" t="s">
        <v>40</v>
      </c>
      <c r="C128" s="168"/>
      <c r="D128" s="111">
        <v>40</v>
      </c>
      <c r="E128" s="112">
        <v>3.1</v>
      </c>
      <c r="F128" s="112">
        <f>1.52*D128/30</f>
        <v>2.0266666666666664</v>
      </c>
      <c r="G128" s="113">
        <f>0.16*D128/30</f>
        <v>0.21333333333333335</v>
      </c>
      <c r="H128" s="113">
        <f>9.84*D128/30</f>
        <v>13.120000000000001</v>
      </c>
      <c r="I128" s="113">
        <f t="shared" si="31"/>
        <v>62.50666666666667</v>
      </c>
      <c r="J128" s="113">
        <f>0.02*D128/30</f>
        <v>0.02666666666666667</v>
      </c>
      <c r="K128" s="113">
        <f>0.01*D128/30</f>
        <v>0.013333333333333334</v>
      </c>
      <c r="L128" s="113">
        <f>0.44*D128/30</f>
        <v>0.5866666666666667</v>
      </c>
      <c r="M128" s="113">
        <v>0</v>
      </c>
      <c r="N128" s="113">
        <f>0.7*D128/30</f>
        <v>0.9333333333333333</v>
      </c>
      <c r="O128" s="113">
        <f>4*D128/30</f>
        <v>5.333333333333333</v>
      </c>
      <c r="P128" s="113">
        <f>13*D128/30</f>
        <v>17.333333333333332</v>
      </c>
      <c r="Q128" s="113">
        <f>0.008*D128/30</f>
        <v>0.010666666666666666</v>
      </c>
      <c r="R128" s="113">
        <f>0.001*D128/30</f>
        <v>0.0013333333333333333</v>
      </c>
      <c r="S128" s="113">
        <v>0</v>
      </c>
      <c r="T128" s="113">
        <f>0.22*D128/30</f>
        <v>0.29333333333333333</v>
      </c>
      <c r="U128" s="114"/>
      <c r="V128" s="115"/>
      <c r="W128" s="115"/>
      <c r="X128" s="115"/>
    </row>
    <row r="129" spans="1:24" s="1" customFormat="1" ht="11.25" customHeight="1">
      <c r="A129" s="60" t="s">
        <v>28</v>
      </c>
      <c r="B129" s="60"/>
      <c r="C129" s="60"/>
      <c r="D129" s="65">
        <f aca="true" t="shared" si="32" ref="D129:I129">SUM(D122:D128)</f>
        <v>890</v>
      </c>
      <c r="E129" s="118">
        <f t="shared" si="32"/>
        <v>90</v>
      </c>
      <c r="F129" s="39">
        <f t="shared" si="32"/>
        <v>35.04666666666666</v>
      </c>
      <c r="G129" s="39">
        <f t="shared" si="32"/>
        <v>35.07558333333333</v>
      </c>
      <c r="H129" s="39">
        <f t="shared" si="32"/>
        <v>123.37625000000001</v>
      </c>
      <c r="I129" s="38">
        <f t="shared" si="32"/>
        <v>949.3719166666666</v>
      </c>
      <c r="J129" s="39">
        <f aca="true" t="shared" si="33" ref="J129:S129">SUM(J122:J128)</f>
        <v>0.7771666666666666</v>
      </c>
      <c r="K129" s="39">
        <f t="shared" si="33"/>
        <v>0.37433333333333324</v>
      </c>
      <c r="L129" s="39">
        <f t="shared" si="33"/>
        <v>54.78041666666667</v>
      </c>
      <c r="M129" s="39">
        <f t="shared" si="33"/>
        <v>0.1375</v>
      </c>
      <c r="N129" s="39">
        <f t="shared" si="33"/>
        <v>7.351583333333334</v>
      </c>
      <c r="O129" s="39">
        <f t="shared" si="33"/>
        <v>208.80558333333335</v>
      </c>
      <c r="P129" s="39">
        <f t="shared" si="33"/>
        <v>575.4728333333334</v>
      </c>
      <c r="Q129" s="39">
        <f t="shared" si="33"/>
        <v>6.318666666666666</v>
      </c>
      <c r="R129" s="40">
        <f t="shared" si="33"/>
        <v>0.06513333333333333</v>
      </c>
      <c r="S129" s="39">
        <f t="shared" si="33"/>
        <v>127.60025</v>
      </c>
      <c r="T129" s="39">
        <f>SUM(T122:T128)</f>
        <v>6.716583333333333</v>
      </c>
      <c r="U129" s="38"/>
      <c r="V129" s="106"/>
      <c r="W129" s="106"/>
      <c r="X129" s="106"/>
    </row>
    <row r="130" spans="1:25" s="1" customFormat="1" ht="11.25" customHeight="1">
      <c r="A130" s="169" t="s">
        <v>50</v>
      </c>
      <c r="B130" s="170"/>
      <c r="C130" s="170"/>
      <c r="D130" s="171"/>
      <c r="E130" s="132"/>
      <c r="F130" s="95">
        <f aca="true" t="shared" si="34" ref="F130:T130">F129/F137</f>
        <v>0.3894074074074073</v>
      </c>
      <c r="G130" s="96">
        <f t="shared" si="34"/>
        <v>0.3812563405797101</v>
      </c>
      <c r="H130" s="96">
        <f t="shared" si="34"/>
        <v>0.3221312010443865</v>
      </c>
      <c r="I130" s="96">
        <f t="shared" si="34"/>
        <v>0.34903379289215686</v>
      </c>
      <c r="J130" s="96">
        <f t="shared" si="34"/>
        <v>0.5551190476190476</v>
      </c>
      <c r="K130" s="96">
        <f t="shared" si="34"/>
        <v>0.23395833333333327</v>
      </c>
      <c r="L130" s="96">
        <f t="shared" si="34"/>
        <v>0.7825773809523809</v>
      </c>
      <c r="M130" s="96">
        <f t="shared" si="34"/>
        <v>0.1527777777777778</v>
      </c>
      <c r="N130" s="96">
        <f t="shared" si="34"/>
        <v>0.6126319444444445</v>
      </c>
      <c r="O130" s="96">
        <f t="shared" si="34"/>
        <v>0.1740046527777778</v>
      </c>
      <c r="P130" s="96">
        <f t="shared" si="34"/>
        <v>0.4795606944444445</v>
      </c>
      <c r="Q130" s="96">
        <f t="shared" si="34"/>
        <v>0.4513333333333333</v>
      </c>
      <c r="R130" s="96">
        <f t="shared" si="34"/>
        <v>0.6513333333333333</v>
      </c>
      <c r="S130" s="96">
        <f t="shared" si="34"/>
        <v>0.4253341666666667</v>
      </c>
      <c r="T130" s="96">
        <f t="shared" si="34"/>
        <v>0.3731435185185185</v>
      </c>
      <c r="U130" s="108"/>
      <c r="V130" s="106"/>
      <c r="W130" s="106"/>
      <c r="X130" s="106"/>
      <c r="Y130" s="103"/>
    </row>
    <row r="131" spans="1:24" s="1" customFormat="1" ht="11.25" customHeight="1">
      <c r="A131" s="172" t="s">
        <v>29</v>
      </c>
      <c r="B131" s="172"/>
      <c r="C131" s="172"/>
      <c r="D131" s="172"/>
      <c r="E131" s="172"/>
      <c r="F131" s="172"/>
      <c r="G131" s="172"/>
      <c r="H131" s="172"/>
      <c r="I131" s="172"/>
      <c r="J131" s="172"/>
      <c r="K131" s="172"/>
      <c r="L131" s="172"/>
      <c r="M131" s="172"/>
      <c r="N131" s="172"/>
      <c r="O131" s="172"/>
      <c r="P131" s="172"/>
      <c r="Q131" s="172"/>
      <c r="R131" s="172"/>
      <c r="S131" s="172"/>
      <c r="T131" s="172"/>
      <c r="U131" s="11"/>
      <c r="V131" s="24"/>
      <c r="W131" s="24"/>
      <c r="X131" s="24"/>
    </row>
    <row r="132" spans="1:20" s="100" customFormat="1" ht="12" customHeight="1">
      <c r="A132" s="149"/>
      <c r="B132" s="187"/>
      <c r="C132" s="187"/>
      <c r="D132" s="124"/>
      <c r="E132" s="101"/>
      <c r="F132" s="101"/>
      <c r="G132" s="152"/>
      <c r="H132" s="152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</row>
    <row r="133" spans="1:20" s="100" customFormat="1" ht="13.5" customHeight="1">
      <c r="A133" s="161"/>
      <c r="B133" s="192"/>
      <c r="C133" s="192"/>
      <c r="D133" s="148"/>
      <c r="E133" s="142"/>
      <c r="F133" s="142"/>
      <c r="G133" s="142"/>
      <c r="H133" s="142"/>
      <c r="I133" s="142"/>
      <c r="J133" s="142"/>
      <c r="K133" s="142"/>
      <c r="L133" s="142"/>
      <c r="M133" s="142"/>
      <c r="N133" s="142"/>
      <c r="O133" s="142"/>
      <c r="P133" s="142"/>
      <c r="Q133" s="142"/>
      <c r="R133" s="142"/>
      <c r="S133" s="142"/>
      <c r="T133" s="142"/>
    </row>
    <row r="134" spans="1:24" s="1" customFormat="1" ht="11.25" customHeight="1">
      <c r="A134" s="61" t="s">
        <v>30</v>
      </c>
      <c r="B134" s="62"/>
      <c r="C134" s="62"/>
      <c r="D134" s="65">
        <f aca="true" t="shared" si="35" ref="D134:T134">SUM(D132:D133)</f>
        <v>0</v>
      </c>
      <c r="E134" s="118">
        <f t="shared" si="35"/>
        <v>0</v>
      </c>
      <c r="F134" s="118">
        <f t="shared" si="35"/>
        <v>0</v>
      </c>
      <c r="G134" s="118">
        <f t="shared" si="35"/>
        <v>0</v>
      </c>
      <c r="H134" s="118">
        <f t="shared" si="35"/>
        <v>0</v>
      </c>
      <c r="I134" s="118">
        <f t="shared" si="35"/>
        <v>0</v>
      </c>
      <c r="J134" s="118">
        <f t="shared" si="35"/>
        <v>0</v>
      </c>
      <c r="K134" s="118">
        <f t="shared" si="35"/>
        <v>0</v>
      </c>
      <c r="L134" s="118">
        <f t="shared" si="35"/>
        <v>0</v>
      </c>
      <c r="M134" s="118">
        <f t="shared" si="35"/>
        <v>0</v>
      </c>
      <c r="N134" s="118">
        <f t="shared" si="35"/>
        <v>0</v>
      </c>
      <c r="O134" s="118">
        <f t="shared" si="35"/>
        <v>0</v>
      </c>
      <c r="P134" s="118">
        <f t="shared" si="35"/>
        <v>0</v>
      </c>
      <c r="Q134" s="118">
        <f t="shared" si="35"/>
        <v>0</v>
      </c>
      <c r="R134" s="118">
        <f t="shared" si="35"/>
        <v>0</v>
      </c>
      <c r="S134" s="118">
        <f t="shared" si="35"/>
        <v>0</v>
      </c>
      <c r="T134" s="118">
        <f t="shared" si="35"/>
        <v>0</v>
      </c>
      <c r="U134" s="38"/>
      <c r="V134" s="106"/>
      <c r="W134" s="106"/>
      <c r="X134" s="106"/>
    </row>
    <row r="135" spans="1:24" s="1" customFormat="1" ht="11.25" customHeight="1">
      <c r="A135" s="169" t="s">
        <v>50</v>
      </c>
      <c r="B135" s="170"/>
      <c r="C135" s="170"/>
      <c r="D135" s="171"/>
      <c r="E135" s="99"/>
      <c r="F135" s="120">
        <f>F134/F137</f>
        <v>0</v>
      </c>
      <c r="G135" s="96">
        <f aca="true" t="shared" si="36" ref="G135:T135">G134/G137</f>
        <v>0</v>
      </c>
      <c r="H135" s="96">
        <f t="shared" si="36"/>
        <v>0</v>
      </c>
      <c r="I135" s="96">
        <f t="shared" si="36"/>
        <v>0</v>
      </c>
      <c r="J135" s="96">
        <f t="shared" si="36"/>
        <v>0</v>
      </c>
      <c r="K135" s="96">
        <f t="shared" si="36"/>
        <v>0</v>
      </c>
      <c r="L135" s="96">
        <f t="shared" si="36"/>
        <v>0</v>
      </c>
      <c r="M135" s="96">
        <f t="shared" si="36"/>
        <v>0</v>
      </c>
      <c r="N135" s="96">
        <f t="shared" si="36"/>
        <v>0</v>
      </c>
      <c r="O135" s="96">
        <f t="shared" si="36"/>
        <v>0</v>
      </c>
      <c r="P135" s="96">
        <f t="shared" si="36"/>
        <v>0</v>
      </c>
      <c r="Q135" s="96">
        <f t="shared" si="36"/>
        <v>0</v>
      </c>
      <c r="R135" s="96">
        <f t="shared" si="36"/>
        <v>0</v>
      </c>
      <c r="S135" s="96">
        <f t="shared" si="36"/>
        <v>0</v>
      </c>
      <c r="T135" s="96">
        <f t="shared" si="36"/>
        <v>0</v>
      </c>
      <c r="U135" s="108"/>
      <c r="V135" s="106"/>
      <c r="W135" s="106"/>
      <c r="X135" s="106"/>
    </row>
    <row r="136" spans="1:24" s="1" customFormat="1" ht="11.25" customHeight="1">
      <c r="A136" s="61" t="s">
        <v>49</v>
      </c>
      <c r="B136" s="62"/>
      <c r="C136" s="62"/>
      <c r="D136" s="89">
        <f>D129+D119</f>
        <v>1555</v>
      </c>
      <c r="E136" s="136">
        <f>E129+E119</f>
        <v>170</v>
      </c>
      <c r="F136" s="39">
        <f aca="true" t="shared" si="37" ref="F136:T136">SUM(F119,F129,F134)</f>
        <v>52.993333333333325</v>
      </c>
      <c r="G136" s="38">
        <f t="shared" si="37"/>
        <v>60.258916666666664</v>
      </c>
      <c r="H136" s="38">
        <f t="shared" si="37"/>
        <v>239.00125000000003</v>
      </c>
      <c r="I136" s="38">
        <f t="shared" si="37"/>
        <v>1710.3885833333331</v>
      </c>
      <c r="J136" s="39">
        <f t="shared" si="37"/>
        <v>2.063833333333333</v>
      </c>
      <c r="K136" s="39">
        <f t="shared" si="37"/>
        <v>0.7326666666666666</v>
      </c>
      <c r="L136" s="39">
        <f t="shared" si="37"/>
        <v>88.72208333333333</v>
      </c>
      <c r="M136" s="39">
        <f t="shared" si="37"/>
        <v>0.281</v>
      </c>
      <c r="N136" s="39">
        <f t="shared" si="37"/>
        <v>10.474916666666667</v>
      </c>
      <c r="O136" s="39">
        <f t="shared" si="37"/>
        <v>655.8889166666667</v>
      </c>
      <c r="P136" s="38">
        <f t="shared" si="37"/>
        <v>996.8961666666667</v>
      </c>
      <c r="Q136" s="40">
        <f t="shared" si="37"/>
        <v>7.397333333333333</v>
      </c>
      <c r="R136" s="40">
        <f t="shared" si="37"/>
        <v>0.12046666666666667</v>
      </c>
      <c r="S136" s="39">
        <f t="shared" si="37"/>
        <v>7383.75025</v>
      </c>
      <c r="T136" s="39">
        <f t="shared" si="37"/>
        <v>14.224916666666667</v>
      </c>
      <c r="U136" s="42"/>
      <c r="V136" s="106"/>
      <c r="W136" s="106"/>
      <c r="X136" s="106"/>
    </row>
    <row r="137" spans="1:24" s="1" customFormat="1" ht="11.25" customHeight="1">
      <c r="A137" s="169" t="s">
        <v>51</v>
      </c>
      <c r="B137" s="170"/>
      <c r="C137" s="170"/>
      <c r="D137" s="171"/>
      <c r="E137" s="132"/>
      <c r="F137" s="112">
        <v>90</v>
      </c>
      <c r="G137" s="110">
        <v>92</v>
      </c>
      <c r="H137" s="110">
        <v>383</v>
      </c>
      <c r="I137" s="110">
        <v>2720</v>
      </c>
      <c r="J137" s="112">
        <v>1.4</v>
      </c>
      <c r="K137" s="112">
        <v>1.6</v>
      </c>
      <c r="L137" s="111">
        <v>70</v>
      </c>
      <c r="M137" s="112">
        <v>0.9</v>
      </c>
      <c r="N137" s="111">
        <v>12</v>
      </c>
      <c r="O137" s="111">
        <v>1200</v>
      </c>
      <c r="P137" s="111">
        <v>1200</v>
      </c>
      <c r="Q137" s="111">
        <v>14</v>
      </c>
      <c r="R137" s="110">
        <v>0.1</v>
      </c>
      <c r="S137" s="111">
        <v>300</v>
      </c>
      <c r="T137" s="112">
        <v>18</v>
      </c>
      <c r="U137" s="114"/>
      <c r="V137" s="115"/>
      <c r="W137" s="115"/>
      <c r="X137" s="115"/>
    </row>
    <row r="138" spans="1:24" s="1" customFormat="1" ht="11.25" customHeight="1">
      <c r="A138" s="169" t="s">
        <v>50</v>
      </c>
      <c r="B138" s="170"/>
      <c r="C138" s="170"/>
      <c r="D138" s="171"/>
      <c r="E138" s="132"/>
      <c r="F138" s="71">
        <f aca="true" t="shared" si="38" ref="F138:T138">F136/F137</f>
        <v>0.5888148148148147</v>
      </c>
      <c r="G138" s="96">
        <f t="shared" si="38"/>
        <v>0.6549882246376811</v>
      </c>
      <c r="H138" s="44">
        <f t="shared" si="38"/>
        <v>0.6240241514360314</v>
      </c>
      <c r="I138" s="44">
        <f t="shared" si="38"/>
        <v>0.628819332107843</v>
      </c>
      <c r="J138" s="44">
        <f t="shared" si="38"/>
        <v>1.4741666666666666</v>
      </c>
      <c r="K138" s="44">
        <f t="shared" si="38"/>
        <v>0.4579166666666666</v>
      </c>
      <c r="L138" s="44">
        <f t="shared" si="38"/>
        <v>1.2674583333333334</v>
      </c>
      <c r="M138" s="45">
        <f t="shared" si="38"/>
        <v>0.31222222222222223</v>
      </c>
      <c r="N138" s="44">
        <f t="shared" si="38"/>
        <v>0.8729097222222223</v>
      </c>
      <c r="O138" s="44">
        <f t="shared" si="38"/>
        <v>0.5465740972222222</v>
      </c>
      <c r="P138" s="44">
        <f t="shared" si="38"/>
        <v>0.8307468055555556</v>
      </c>
      <c r="Q138" s="44">
        <f t="shared" si="38"/>
        <v>0.5283809523809524</v>
      </c>
      <c r="R138" s="44">
        <f>R136/R137</f>
        <v>1.2046666666666666</v>
      </c>
      <c r="S138" s="44">
        <f t="shared" si="38"/>
        <v>24.612500833333332</v>
      </c>
      <c r="T138" s="45">
        <f t="shared" si="38"/>
        <v>0.7902731481481482</v>
      </c>
      <c r="U138" s="46"/>
      <c r="V138" s="47"/>
      <c r="W138" s="47"/>
      <c r="X138" s="47"/>
    </row>
    <row r="139" spans="1:24" s="1" customFormat="1" ht="11.25" customHeight="1">
      <c r="A139" s="54"/>
      <c r="B139" s="54"/>
      <c r="C139" s="128"/>
      <c r="D139" s="128"/>
      <c r="E139" s="128"/>
      <c r="F139" s="84"/>
      <c r="G139" s="104"/>
      <c r="H139" s="2"/>
      <c r="I139" s="2"/>
      <c r="J139" s="104"/>
      <c r="K139" s="104"/>
      <c r="L139" s="104"/>
      <c r="M139" s="195" t="s">
        <v>53</v>
      </c>
      <c r="N139" s="195"/>
      <c r="O139" s="195"/>
      <c r="P139" s="195"/>
      <c r="Q139" s="195"/>
      <c r="R139" s="195"/>
      <c r="S139" s="195"/>
      <c r="T139" s="195"/>
      <c r="U139" s="12"/>
      <c r="V139" s="19"/>
      <c r="W139" s="19"/>
      <c r="X139" s="19"/>
    </row>
    <row r="140" spans="1:24" s="1" customFormat="1" ht="11.25" customHeight="1">
      <c r="A140" s="54"/>
      <c r="B140" s="54"/>
      <c r="C140" s="128"/>
      <c r="D140" s="128"/>
      <c r="E140" s="128"/>
      <c r="F140" s="84"/>
      <c r="G140" s="104"/>
      <c r="H140" s="2"/>
      <c r="I140" s="2"/>
      <c r="J140" s="104"/>
      <c r="K140" s="104"/>
      <c r="L140" s="104"/>
      <c r="M140" s="135"/>
      <c r="N140" s="135"/>
      <c r="O140" s="135"/>
      <c r="P140" s="135"/>
      <c r="Q140" s="135"/>
      <c r="R140" s="135"/>
      <c r="S140" s="135"/>
      <c r="T140" s="135"/>
      <c r="U140" s="12"/>
      <c r="V140" s="19"/>
      <c r="W140" s="19"/>
      <c r="X140" s="19"/>
    </row>
    <row r="141" spans="1:24" s="1" customFormat="1" ht="11.25" customHeight="1">
      <c r="A141" s="188"/>
      <c r="B141" s="188"/>
      <c r="C141" s="188"/>
      <c r="D141" s="188"/>
      <c r="E141" s="188"/>
      <c r="F141" s="188"/>
      <c r="G141" s="188"/>
      <c r="H141" s="188"/>
      <c r="I141" s="188"/>
      <c r="J141" s="188"/>
      <c r="K141" s="188"/>
      <c r="L141" s="188"/>
      <c r="M141" s="188"/>
      <c r="N141" s="188"/>
      <c r="O141" s="188"/>
      <c r="P141" s="188"/>
      <c r="Q141" s="188"/>
      <c r="R141" s="188"/>
      <c r="S141" s="188"/>
      <c r="T141" s="188"/>
      <c r="U141" s="13"/>
      <c r="V141" s="25"/>
      <c r="W141" s="25"/>
      <c r="X141" s="25"/>
    </row>
    <row r="142" spans="1:24" s="1" customFormat="1" ht="11.25" customHeight="1">
      <c r="A142" s="58" t="s">
        <v>42</v>
      </c>
      <c r="B142" s="54"/>
      <c r="C142" s="54"/>
      <c r="D142" s="2"/>
      <c r="E142" s="2"/>
      <c r="F142" s="105"/>
      <c r="G142" s="197" t="s">
        <v>34</v>
      </c>
      <c r="H142" s="197"/>
      <c r="I142" s="197"/>
      <c r="J142" s="104"/>
      <c r="K142" s="104"/>
      <c r="L142" s="193" t="s">
        <v>1</v>
      </c>
      <c r="M142" s="193"/>
      <c r="N142" s="189"/>
      <c r="O142" s="189"/>
      <c r="P142" s="189"/>
      <c r="Q142" s="189"/>
      <c r="R142" s="104"/>
      <c r="S142" s="104"/>
      <c r="T142" s="104"/>
      <c r="U142" s="14"/>
      <c r="V142" s="20"/>
      <c r="W142" s="20"/>
      <c r="X142" s="20"/>
    </row>
    <row r="143" spans="1:24" s="1" customFormat="1" ht="11.25" customHeight="1">
      <c r="A143" s="54"/>
      <c r="B143" s="54"/>
      <c r="C143" s="54"/>
      <c r="D143" s="186" t="s">
        <v>2</v>
      </c>
      <c r="E143" s="186"/>
      <c r="F143" s="186"/>
      <c r="G143" s="7">
        <v>1</v>
      </c>
      <c r="H143" s="104"/>
      <c r="I143" s="2"/>
      <c r="J143" s="2"/>
      <c r="K143" s="2"/>
      <c r="L143" s="186" t="s">
        <v>3</v>
      </c>
      <c r="M143" s="186"/>
      <c r="N143" s="205" t="s">
        <v>44</v>
      </c>
      <c r="O143" s="205"/>
      <c r="P143" s="205"/>
      <c r="Q143" s="205"/>
      <c r="R143" s="205"/>
      <c r="S143" s="205"/>
      <c r="T143" s="205"/>
      <c r="U143" s="15"/>
      <c r="V143" s="21"/>
      <c r="W143" s="21"/>
      <c r="X143" s="21"/>
    </row>
    <row r="144" spans="1:24" s="1" customFormat="1" ht="21.75" customHeight="1">
      <c r="A144" s="190" t="s">
        <v>4</v>
      </c>
      <c r="B144" s="198" t="s">
        <v>5</v>
      </c>
      <c r="C144" s="199"/>
      <c r="D144" s="190" t="s">
        <v>6</v>
      </c>
      <c r="E144" s="131"/>
      <c r="F144" s="183" t="s">
        <v>7</v>
      </c>
      <c r="G144" s="184"/>
      <c r="H144" s="185"/>
      <c r="I144" s="190" t="s">
        <v>8</v>
      </c>
      <c r="J144" s="183" t="s">
        <v>9</v>
      </c>
      <c r="K144" s="184"/>
      <c r="L144" s="184"/>
      <c r="M144" s="184"/>
      <c r="N144" s="185"/>
      <c r="O144" s="183" t="s">
        <v>10</v>
      </c>
      <c r="P144" s="184"/>
      <c r="Q144" s="184"/>
      <c r="R144" s="184"/>
      <c r="S144" s="184"/>
      <c r="T144" s="185"/>
      <c r="U144" s="9"/>
      <c r="V144" s="22"/>
      <c r="W144" s="22"/>
      <c r="X144" s="22"/>
    </row>
    <row r="145" spans="1:24" s="1" customFormat="1" ht="21" customHeight="1">
      <c r="A145" s="191"/>
      <c r="B145" s="200"/>
      <c r="C145" s="201"/>
      <c r="D145" s="191"/>
      <c r="E145" s="130"/>
      <c r="F145" s="82" t="s">
        <v>11</v>
      </c>
      <c r="G145" s="134" t="s">
        <v>12</v>
      </c>
      <c r="H145" s="134" t="s">
        <v>13</v>
      </c>
      <c r="I145" s="191"/>
      <c r="J145" s="134" t="s">
        <v>14</v>
      </c>
      <c r="K145" s="134" t="s">
        <v>45</v>
      </c>
      <c r="L145" s="134" t="s">
        <v>15</v>
      </c>
      <c r="M145" s="134" t="s">
        <v>16</v>
      </c>
      <c r="N145" s="134" t="s">
        <v>17</v>
      </c>
      <c r="O145" s="134" t="s">
        <v>18</v>
      </c>
      <c r="P145" s="134" t="s">
        <v>19</v>
      </c>
      <c r="Q145" s="134" t="s">
        <v>46</v>
      </c>
      <c r="R145" s="134" t="s">
        <v>47</v>
      </c>
      <c r="S145" s="134" t="s">
        <v>20</v>
      </c>
      <c r="T145" s="134" t="s">
        <v>21</v>
      </c>
      <c r="U145" s="9"/>
      <c r="V145" s="22"/>
      <c r="W145" s="22"/>
      <c r="X145" s="22"/>
    </row>
    <row r="146" spans="1:24" s="1" customFormat="1" ht="11.25" customHeight="1">
      <c r="A146" s="133">
        <v>1</v>
      </c>
      <c r="B146" s="179">
        <v>2</v>
      </c>
      <c r="C146" s="180"/>
      <c r="D146" s="37">
        <v>3</v>
      </c>
      <c r="E146" s="37"/>
      <c r="F146" s="83">
        <v>4</v>
      </c>
      <c r="G146" s="37">
        <v>5</v>
      </c>
      <c r="H146" s="37">
        <v>6</v>
      </c>
      <c r="I146" s="37">
        <v>7</v>
      </c>
      <c r="J146" s="37">
        <v>8</v>
      </c>
      <c r="K146" s="37">
        <v>9</v>
      </c>
      <c r="L146" s="37">
        <v>10</v>
      </c>
      <c r="M146" s="37">
        <v>11</v>
      </c>
      <c r="N146" s="37">
        <v>12</v>
      </c>
      <c r="O146" s="37">
        <v>13</v>
      </c>
      <c r="P146" s="37">
        <v>14</v>
      </c>
      <c r="Q146" s="37">
        <v>15</v>
      </c>
      <c r="R146" s="37">
        <v>16</v>
      </c>
      <c r="S146" s="37">
        <v>17</v>
      </c>
      <c r="T146" s="37">
        <v>18</v>
      </c>
      <c r="U146" s="10"/>
      <c r="V146" s="23"/>
      <c r="W146" s="23"/>
      <c r="X146" s="23"/>
    </row>
    <row r="147" spans="1:24" s="1" customFormat="1" ht="11.25" customHeight="1">
      <c r="A147" s="206" t="s">
        <v>25</v>
      </c>
      <c r="B147" s="207"/>
      <c r="C147" s="207"/>
      <c r="D147" s="207"/>
      <c r="E147" s="207"/>
      <c r="F147" s="207"/>
      <c r="G147" s="207"/>
      <c r="H147" s="207"/>
      <c r="I147" s="207"/>
      <c r="J147" s="207"/>
      <c r="K147" s="207"/>
      <c r="L147" s="207"/>
      <c r="M147" s="207"/>
      <c r="N147" s="207"/>
      <c r="O147" s="207"/>
      <c r="P147" s="207"/>
      <c r="Q147" s="207"/>
      <c r="R147" s="207"/>
      <c r="S147" s="207"/>
      <c r="T147" s="208"/>
      <c r="U147" s="11"/>
      <c r="V147" s="24"/>
      <c r="W147" s="24"/>
      <c r="X147" s="24"/>
    </row>
    <row r="148" spans="1:24" s="3" customFormat="1" ht="11.25" customHeight="1">
      <c r="A148" s="94">
        <v>15</v>
      </c>
      <c r="B148" s="167" t="s">
        <v>63</v>
      </c>
      <c r="C148" s="168"/>
      <c r="D148" s="111">
        <v>20</v>
      </c>
      <c r="E148" s="112">
        <v>12.8</v>
      </c>
      <c r="F148" s="112">
        <f>2.32*D148/10</f>
        <v>4.64</v>
      </c>
      <c r="G148" s="112">
        <f>3.4*D148/10</f>
        <v>6.8</v>
      </c>
      <c r="H148" s="112">
        <f>0.01*D148/10</f>
        <v>0.02</v>
      </c>
      <c r="I148" s="112">
        <f>F148*4+G148*9+H148*4</f>
        <v>79.83999999999999</v>
      </c>
      <c r="J148" s="112">
        <f>0.004*D148/10</f>
        <v>0.008</v>
      </c>
      <c r="K148" s="112">
        <f>0.03*D148/10</f>
        <v>0.06</v>
      </c>
      <c r="L148" s="112">
        <f>0.07*D148/10</f>
        <v>0.14</v>
      </c>
      <c r="M148" s="113">
        <f>0.023*D148/10</f>
        <v>0.046</v>
      </c>
      <c r="N148" s="112">
        <f>0.05*D148/10</f>
        <v>0.1</v>
      </c>
      <c r="O148" s="112">
        <f>88*D148/10</f>
        <v>176</v>
      </c>
      <c r="P148" s="112">
        <f>50*D148/10</f>
        <v>100</v>
      </c>
      <c r="Q148" s="112">
        <f>0.4*D148/10</f>
        <v>0.8</v>
      </c>
      <c r="R148" s="113">
        <f>0.02*D148/10</f>
        <v>0.04</v>
      </c>
      <c r="S148" s="112">
        <f>3.5*D148/10</f>
        <v>7</v>
      </c>
      <c r="T148" s="112">
        <f>0.13*D148/10</f>
        <v>0.26</v>
      </c>
      <c r="U148" s="69"/>
      <c r="V148" s="70"/>
      <c r="W148" s="70"/>
      <c r="X148" s="70"/>
    </row>
    <row r="149" spans="1:24" s="104" customFormat="1" ht="21.75" customHeight="1">
      <c r="A149" s="117">
        <v>173</v>
      </c>
      <c r="B149" s="167" t="s">
        <v>96</v>
      </c>
      <c r="C149" s="168"/>
      <c r="D149" s="111">
        <v>200</v>
      </c>
      <c r="E149" s="112">
        <v>17.3</v>
      </c>
      <c r="F149" s="112">
        <v>7.23</v>
      </c>
      <c r="G149" s="112">
        <v>9.81</v>
      </c>
      <c r="H149" s="112">
        <v>28.8</v>
      </c>
      <c r="I149" s="112">
        <v>232.41</v>
      </c>
      <c r="J149" s="112">
        <v>0.22</v>
      </c>
      <c r="K149" s="112">
        <v>0.2</v>
      </c>
      <c r="L149" s="112">
        <v>1.3</v>
      </c>
      <c r="M149" s="113">
        <v>0.08</v>
      </c>
      <c r="N149" s="112">
        <v>0</v>
      </c>
      <c r="O149" s="110">
        <v>142.58</v>
      </c>
      <c r="P149" s="110">
        <v>222.38</v>
      </c>
      <c r="Q149" s="111">
        <v>0</v>
      </c>
      <c r="R149" s="110">
        <v>0.001</v>
      </c>
      <c r="S149" s="110">
        <v>65.69</v>
      </c>
      <c r="T149" s="112">
        <v>1.53</v>
      </c>
      <c r="U149" s="114"/>
      <c r="V149" s="115"/>
      <c r="W149" s="115"/>
      <c r="X149" s="115"/>
    </row>
    <row r="150" spans="1:24" s="68" customFormat="1" ht="9.75">
      <c r="A150" s="94">
        <v>338</v>
      </c>
      <c r="B150" s="166" t="s">
        <v>100</v>
      </c>
      <c r="C150" s="166"/>
      <c r="D150" s="111">
        <v>200</v>
      </c>
      <c r="E150" s="112">
        <v>34.6</v>
      </c>
      <c r="F150" s="112">
        <v>0.4</v>
      </c>
      <c r="G150" s="109">
        <v>0.4</v>
      </c>
      <c r="H150" s="110">
        <v>9.8</v>
      </c>
      <c r="I150" s="110">
        <f>F150*4+G150*9+H150*4</f>
        <v>44.400000000000006</v>
      </c>
      <c r="J150" s="112">
        <v>0.04</v>
      </c>
      <c r="K150" s="112">
        <v>0.02</v>
      </c>
      <c r="L150" s="111">
        <v>10</v>
      </c>
      <c r="M150" s="111">
        <v>0.02</v>
      </c>
      <c r="N150" s="112">
        <v>0.2</v>
      </c>
      <c r="O150" s="112">
        <v>16</v>
      </c>
      <c r="P150" s="112">
        <v>11</v>
      </c>
      <c r="Q150" s="111">
        <v>0.03</v>
      </c>
      <c r="R150" s="111">
        <v>0.002</v>
      </c>
      <c r="S150" s="112">
        <v>9</v>
      </c>
      <c r="T150" s="112">
        <v>2.2</v>
      </c>
      <c r="U150" s="69"/>
      <c r="V150" s="70"/>
      <c r="W150" s="70"/>
      <c r="X150" s="70"/>
    </row>
    <row r="151" spans="1:24" s="104" customFormat="1" ht="12.75" customHeight="1">
      <c r="A151" s="133">
        <v>376</v>
      </c>
      <c r="B151" s="166" t="s">
        <v>93</v>
      </c>
      <c r="C151" s="166"/>
      <c r="D151" s="111">
        <v>200</v>
      </c>
      <c r="E151" s="112">
        <v>2.2</v>
      </c>
      <c r="F151" s="112">
        <v>0.2</v>
      </c>
      <c r="G151" s="112">
        <v>0.05</v>
      </c>
      <c r="H151" s="112">
        <v>15.01</v>
      </c>
      <c r="I151" s="112">
        <v>61.29</v>
      </c>
      <c r="J151" s="112">
        <v>0</v>
      </c>
      <c r="K151" s="112">
        <v>0.01</v>
      </c>
      <c r="L151" s="112">
        <v>9</v>
      </c>
      <c r="M151" s="109">
        <v>0</v>
      </c>
      <c r="N151" s="112">
        <v>0.045</v>
      </c>
      <c r="O151" s="112">
        <v>5.25</v>
      </c>
      <c r="P151" s="112">
        <v>8.24</v>
      </c>
      <c r="Q151" s="112">
        <v>0.008</v>
      </c>
      <c r="R151" s="113">
        <v>0</v>
      </c>
      <c r="S151" s="112">
        <v>4.4</v>
      </c>
      <c r="T151" s="112">
        <v>0.87</v>
      </c>
      <c r="U151" s="114"/>
      <c r="V151" s="115"/>
      <c r="W151" s="115"/>
      <c r="X151" s="115"/>
    </row>
    <row r="152" spans="1:24" s="3" customFormat="1" ht="12.75" customHeight="1">
      <c r="A152" s="117" t="s">
        <v>54</v>
      </c>
      <c r="B152" s="167" t="s">
        <v>40</v>
      </c>
      <c r="C152" s="168"/>
      <c r="D152" s="111">
        <v>40</v>
      </c>
      <c r="E152" s="112">
        <v>3.1</v>
      </c>
      <c r="F152" s="112">
        <f>1.52*D152/30</f>
        <v>2.0266666666666664</v>
      </c>
      <c r="G152" s="113">
        <f>0.16*D152/30</f>
        <v>0.21333333333333335</v>
      </c>
      <c r="H152" s="113">
        <f>9.84*D152/30</f>
        <v>13.120000000000001</v>
      </c>
      <c r="I152" s="113">
        <f>F152*4+G152*9+H152*4</f>
        <v>62.50666666666667</v>
      </c>
      <c r="J152" s="113">
        <f>0.02*D152/30</f>
        <v>0.02666666666666667</v>
      </c>
      <c r="K152" s="113">
        <f>0.01*D152/30</f>
        <v>0.013333333333333334</v>
      </c>
      <c r="L152" s="113">
        <f>0.44*D152/30</f>
        <v>0.5866666666666667</v>
      </c>
      <c r="M152" s="113">
        <v>0</v>
      </c>
      <c r="N152" s="113">
        <f>0.7*D152/30</f>
        <v>0.9333333333333333</v>
      </c>
      <c r="O152" s="113">
        <f>4*D152/30</f>
        <v>5.333333333333333</v>
      </c>
      <c r="P152" s="113">
        <f>13*D152/30</f>
        <v>17.333333333333332</v>
      </c>
      <c r="Q152" s="113">
        <f>0.008*D152/30</f>
        <v>0.010666666666666666</v>
      </c>
      <c r="R152" s="113">
        <f>0.001*D152/30</f>
        <v>0.0013333333333333333</v>
      </c>
      <c r="S152" s="113">
        <v>0</v>
      </c>
      <c r="T152" s="113">
        <f>0.22*D152/30</f>
        <v>0.29333333333333333</v>
      </c>
      <c r="U152" s="69"/>
      <c r="V152" s="70"/>
      <c r="W152" s="70"/>
      <c r="X152" s="70"/>
    </row>
    <row r="153" spans="1:20" s="100" customFormat="1" ht="12.75" customHeight="1">
      <c r="A153" s="143" t="s">
        <v>54</v>
      </c>
      <c r="B153" s="187" t="s">
        <v>85</v>
      </c>
      <c r="C153" s="187"/>
      <c r="D153" s="124">
        <v>20</v>
      </c>
      <c r="E153" s="101">
        <v>10</v>
      </c>
      <c r="F153" s="101">
        <v>0.4</v>
      </c>
      <c r="G153" s="101">
        <v>0.4</v>
      </c>
      <c r="H153" s="101">
        <v>9.8</v>
      </c>
      <c r="I153" s="101">
        <f>F153*4+G153*9+H153*4</f>
        <v>44.400000000000006</v>
      </c>
      <c r="J153" s="101">
        <v>0.04</v>
      </c>
      <c r="K153" s="101">
        <v>0.02</v>
      </c>
      <c r="L153" s="124">
        <v>10</v>
      </c>
      <c r="M153" s="124">
        <v>0.02</v>
      </c>
      <c r="N153" s="101">
        <v>0.2</v>
      </c>
      <c r="O153" s="101">
        <v>16</v>
      </c>
      <c r="P153" s="101">
        <v>11</v>
      </c>
      <c r="Q153" s="124">
        <v>0.03</v>
      </c>
      <c r="R153" s="124">
        <v>0.002</v>
      </c>
      <c r="S153" s="101">
        <v>9</v>
      </c>
      <c r="T153" s="101">
        <v>2.2</v>
      </c>
    </row>
    <row r="154" spans="1:24" s="3" customFormat="1" ht="11.25" customHeight="1">
      <c r="A154" s="61" t="s">
        <v>26</v>
      </c>
      <c r="B154" s="62"/>
      <c r="C154" s="62"/>
      <c r="D154" s="65">
        <f aca="true" t="shared" si="39" ref="D154:T154">SUM(D148:D153)</f>
        <v>680</v>
      </c>
      <c r="E154" s="118">
        <f t="shared" si="39"/>
        <v>80</v>
      </c>
      <c r="F154" s="39">
        <f t="shared" si="39"/>
        <v>14.896666666666667</v>
      </c>
      <c r="G154" s="39">
        <f t="shared" si="39"/>
        <v>17.673333333333332</v>
      </c>
      <c r="H154" s="39">
        <f t="shared" si="39"/>
        <v>76.55</v>
      </c>
      <c r="I154" s="39">
        <f t="shared" si="39"/>
        <v>524.8466666666667</v>
      </c>
      <c r="J154" s="39">
        <f t="shared" si="39"/>
        <v>0.33466666666666667</v>
      </c>
      <c r="K154" s="39">
        <f t="shared" si="39"/>
        <v>0.32333333333333336</v>
      </c>
      <c r="L154" s="39">
        <f t="shared" si="39"/>
        <v>31.026666666666664</v>
      </c>
      <c r="M154" s="39">
        <f t="shared" si="39"/>
        <v>0.16599999999999998</v>
      </c>
      <c r="N154" s="39">
        <f t="shared" si="39"/>
        <v>1.4783333333333333</v>
      </c>
      <c r="O154" s="39">
        <f t="shared" si="39"/>
        <v>361.16333333333336</v>
      </c>
      <c r="P154" s="39">
        <f t="shared" si="39"/>
        <v>369.9533333333333</v>
      </c>
      <c r="Q154" s="39">
        <f t="shared" si="39"/>
        <v>0.8786666666666668</v>
      </c>
      <c r="R154" s="39">
        <f t="shared" si="39"/>
        <v>0.04633333333333334</v>
      </c>
      <c r="S154" s="39">
        <f t="shared" si="39"/>
        <v>95.09</v>
      </c>
      <c r="T154" s="39">
        <f t="shared" si="39"/>
        <v>7.3533333333333335</v>
      </c>
      <c r="U154" s="38"/>
      <c r="V154" s="41"/>
      <c r="W154" s="41"/>
      <c r="X154" s="41"/>
    </row>
    <row r="155" spans="1:24" s="3" customFormat="1" ht="11.25" customHeight="1">
      <c r="A155" s="176" t="s">
        <v>50</v>
      </c>
      <c r="B155" s="177"/>
      <c r="C155" s="177"/>
      <c r="D155" s="178"/>
      <c r="E155" s="126"/>
      <c r="F155" s="119">
        <f aca="true" t="shared" si="40" ref="F155:T155">F154/F172</f>
        <v>0.1655185185185185</v>
      </c>
      <c r="G155" s="71">
        <f t="shared" si="40"/>
        <v>0.1921014492753623</v>
      </c>
      <c r="H155" s="71">
        <f t="shared" si="40"/>
        <v>0.19986945169712794</v>
      </c>
      <c r="I155" s="71">
        <f t="shared" si="40"/>
        <v>0.19295833333333334</v>
      </c>
      <c r="J155" s="71">
        <f t="shared" si="40"/>
        <v>0.23904761904761906</v>
      </c>
      <c r="K155" s="71">
        <f t="shared" si="40"/>
        <v>0.20208333333333334</v>
      </c>
      <c r="L155" s="71">
        <f t="shared" si="40"/>
        <v>0.4432380952380952</v>
      </c>
      <c r="M155" s="71">
        <f t="shared" si="40"/>
        <v>0.1844444444444444</v>
      </c>
      <c r="N155" s="71">
        <f t="shared" si="40"/>
        <v>0.12319444444444444</v>
      </c>
      <c r="O155" s="71">
        <f t="shared" si="40"/>
        <v>0.30096944444444446</v>
      </c>
      <c r="P155" s="71">
        <f t="shared" si="40"/>
        <v>0.3082944444444444</v>
      </c>
      <c r="Q155" s="71">
        <f t="shared" si="40"/>
        <v>0.06276190476190477</v>
      </c>
      <c r="R155" s="71">
        <f t="shared" si="40"/>
        <v>0.4633333333333334</v>
      </c>
      <c r="S155" s="71">
        <f t="shared" si="40"/>
        <v>0.3169666666666667</v>
      </c>
      <c r="T155" s="44">
        <f t="shared" si="40"/>
        <v>0.4085185185185185</v>
      </c>
      <c r="U155" s="48"/>
      <c r="V155" s="41"/>
      <c r="W155" s="41"/>
      <c r="X155" s="41"/>
    </row>
    <row r="156" spans="1:24" s="3" customFormat="1" ht="11.25" customHeight="1">
      <c r="A156" s="206" t="s">
        <v>27</v>
      </c>
      <c r="B156" s="207"/>
      <c r="C156" s="207"/>
      <c r="D156" s="207"/>
      <c r="E156" s="207"/>
      <c r="F156" s="207"/>
      <c r="G156" s="207"/>
      <c r="H156" s="207"/>
      <c r="I156" s="207"/>
      <c r="J156" s="207"/>
      <c r="K156" s="207"/>
      <c r="L156" s="207"/>
      <c r="M156" s="207"/>
      <c r="N156" s="207"/>
      <c r="O156" s="207"/>
      <c r="P156" s="207"/>
      <c r="Q156" s="207"/>
      <c r="R156" s="207"/>
      <c r="S156" s="207"/>
      <c r="T156" s="208"/>
      <c r="U156" s="11"/>
      <c r="V156" s="24"/>
      <c r="W156" s="24"/>
      <c r="X156" s="24"/>
    </row>
    <row r="157" spans="1:24" s="104" customFormat="1" ht="20.25" customHeight="1">
      <c r="A157" s="67">
        <v>71</v>
      </c>
      <c r="B157" s="167" t="s">
        <v>91</v>
      </c>
      <c r="C157" s="168"/>
      <c r="D157" s="73">
        <v>50</v>
      </c>
      <c r="E157" s="73">
        <v>8.74</v>
      </c>
      <c r="F157" s="125">
        <f>0.5*D157/60</f>
        <v>0.4166666666666667</v>
      </c>
      <c r="G157" s="125">
        <f>0.03*D157/30</f>
        <v>0.05</v>
      </c>
      <c r="H157" s="125">
        <f>1.7*D157/60</f>
        <v>1.4166666666666667</v>
      </c>
      <c r="I157" s="125">
        <f>F157*4+G157*9+H157*4</f>
        <v>7.783333333333333</v>
      </c>
      <c r="J157" s="74">
        <v>0.009</v>
      </c>
      <c r="K157" s="125">
        <v>0.01</v>
      </c>
      <c r="L157" s="75">
        <v>3</v>
      </c>
      <c r="M157" s="74">
        <v>0.003</v>
      </c>
      <c r="N157" s="73">
        <v>0.03</v>
      </c>
      <c r="O157" s="125">
        <v>6.9</v>
      </c>
      <c r="P157" s="125">
        <v>12.6</v>
      </c>
      <c r="Q157" s="74">
        <v>0.064</v>
      </c>
      <c r="R157" s="74">
        <v>0.001</v>
      </c>
      <c r="S157" s="125">
        <v>4.2</v>
      </c>
      <c r="T157" s="125">
        <v>0.18</v>
      </c>
      <c r="U157" s="32"/>
      <c r="V157" s="33"/>
      <c r="W157" s="33"/>
      <c r="X157" s="33"/>
    </row>
    <row r="158" spans="1:24" s="68" customFormat="1" ht="21.75" customHeight="1">
      <c r="A158" s="133">
        <v>106</v>
      </c>
      <c r="B158" s="210" t="s">
        <v>79</v>
      </c>
      <c r="C158" s="211"/>
      <c r="D158" s="109">
        <v>250</v>
      </c>
      <c r="E158" s="109">
        <v>12.61</v>
      </c>
      <c r="F158" s="112">
        <v>8.61</v>
      </c>
      <c r="G158" s="112">
        <v>8.4</v>
      </c>
      <c r="H158" s="112">
        <v>14.34</v>
      </c>
      <c r="I158" s="112">
        <v>167.25</v>
      </c>
      <c r="J158" s="112">
        <v>0.1</v>
      </c>
      <c r="K158" s="112">
        <v>0</v>
      </c>
      <c r="L158" s="112">
        <v>9.11</v>
      </c>
      <c r="M158" s="112">
        <v>15</v>
      </c>
      <c r="N158" s="113">
        <v>0</v>
      </c>
      <c r="O158" s="112">
        <v>45.3</v>
      </c>
      <c r="P158" s="112">
        <v>176.53</v>
      </c>
      <c r="Q158" s="112">
        <v>0</v>
      </c>
      <c r="R158" s="112">
        <v>0</v>
      </c>
      <c r="S158" s="112">
        <v>47.35</v>
      </c>
      <c r="T158" s="112">
        <v>1.26</v>
      </c>
      <c r="U158" s="69"/>
      <c r="V158" s="70"/>
      <c r="W158" s="70"/>
      <c r="X158" s="70"/>
    </row>
    <row r="159" spans="1:24" s="104" customFormat="1" ht="23.25" customHeight="1">
      <c r="A159" s="133">
        <v>266</v>
      </c>
      <c r="B159" s="167" t="s">
        <v>70</v>
      </c>
      <c r="C159" s="168"/>
      <c r="D159" s="111">
        <v>100</v>
      </c>
      <c r="E159" s="112">
        <v>44.81</v>
      </c>
      <c r="F159" s="112">
        <v>16.68</v>
      </c>
      <c r="G159" s="112">
        <v>23.27</v>
      </c>
      <c r="H159" s="112">
        <v>4.28</v>
      </c>
      <c r="I159" s="112">
        <v>293</v>
      </c>
      <c r="J159" s="112">
        <v>0.203</v>
      </c>
      <c r="K159" s="112">
        <v>0.23</v>
      </c>
      <c r="L159" s="112">
        <v>0.48</v>
      </c>
      <c r="M159" s="112">
        <f>0.04*D159/80</f>
        <v>0.05</v>
      </c>
      <c r="N159" s="109">
        <v>0.068</v>
      </c>
      <c r="O159" s="110">
        <v>54.5</v>
      </c>
      <c r="P159" s="110">
        <v>200.14</v>
      </c>
      <c r="Q159" s="112">
        <v>2.56</v>
      </c>
      <c r="R159" s="113">
        <f>0.04*D159/80</f>
        <v>0.05</v>
      </c>
      <c r="S159" s="110">
        <v>27.5</v>
      </c>
      <c r="T159" s="112">
        <v>2.17</v>
      </c>
      <c r="U159" s="114"/>
      <c r="V159" s="115"/>
      <c r="W159" s="115"/>
      <c r="X159" s="115"/>
    </row>
    <row r="160" spans="1:24" s="104" customFormat="1" ht="12.75" customHeight="1">
      <c r="A160" s="117">
        <v>171</v>
      </c>
      <c r="B160" s="167" t="s">
        <v>23</v>
      </c>
      <c r="C160" s="168"/>
      <c r="D160" s="111">
        <v>180</v>
      </c>
      <c r="E160" s="112">
        <v>13.8</v>
      </c>
      <c r="F160" s="112">
        <f>6.57*D160/150</f>
        <v>7.884000000000001</v>
      </c>
      <c r="G160" s="112">
        <f>4.19*D160/150</f>
        <v>5.0280000000000005</v>
      </c>
      <c r="H160" s="112">
        <f>32.32*D160/150</f>
        <v>38.784</v>
      </c>
      <c r="I160" s="112">
        <f>F160*4+G160*9+H160*4</f>
        <v>231.924</v>
      </c>
      <c r="J160" s="113">
        <f>0.06*D160/150</f>
        <v>0.072</v>
      </c>
      <c r="K160" s="113">
        <f>0.03*D160/150</f>
        <v>0.036</v>
      </c>
      <c r="L160" s="109">
        <v>0</v>
      </c>
      <c r="M160" s="113">
        <f>0.03*D160/150</f>
        <v>0.036</v>
      </c>
      <c r="N160" s="109">
        <f>2.55*D160/150</f>
        <v>3.0599999999999996</v>
      </c>
      <c r="O160" s="112">
        <f>18.12*D160/150</f>
        <v>21.744000000000003</v>
      </c>
      <c r="P160" s="112">
        <f>157.03*D160/150</f>
        <v>188.436</v>
      </c>
      <c r="Q160" s="113">
        <f>0.8874*D160/150</f>
        <v>1.06488</v>
      </c>
      <c r="R160" s="113">
        <f>0.00135*D160/150</f>
        <v>0.0016200000000000001</v>
      </c>
      <c r="S160" s="112">
        <f>104.45*D160/150</f>
        <v>125.34</v>
      </c>
      <c r="T160" s="112">
        <f>3.55*D160/150</f>
        <v>4.26</v>
      </c>
      <c r="U160" s="114"/>
      <c r="V160" s="115"/>
      <c r="W160" s="115"/>
      <c r="X160" s="115"/>
    </row>
    <row r="161" spans="1:24" s="104" customFormat="1" ht="9.75">
      <c r="A161" s="140">
        <v>345</v>
      </c>
      <c r="B161" s="192" t="s">
        <v>37</v>
      </c>
      <c r="C161" s="192"/>
      <c r="D161" s="148">
        <v>200</v>
      </c>
      <c r="E161" s="142">
        <v>4.9</v>
      </c>
      <c r="F161" s="142">
        <v>0.06</v>
      </c>
      <c r="G161" s="142">
        <v>0.02</v>
      </c>
      <c r="H161" s="142">
        <v>20.73</v>
      </c>
      <c r="I161" s="142">
        <v>83.34</v>
      </c>
      <c r="J161" s="142">
        <v>0</v>
      </c>
      <c r="K161" s="142">
        <v>0</v>
      </c>
      <c r="L161" s="142">
        <v>2.5</v>
      </c>
      <c r="M161" s="142">
        <v>0.004</v>
      </c>
      <c r="N161" s="142">
        <v>0.2</v>
      </c>
      <c r="O161" s="142">
        <v>4</v>
      </c>
      <c r="P161" s="142">
        <v>3.3</v>
      </c>
      <c r="Q161" s="142">
        <v>0.08</v>
      </c>
      <c r="R161" s="142">
        <v>0.001</v>
      </c>
      <c r="S161" s="142">
        <v>1.7</v>
      </c>
      <c r="T161" s="142">
        <v>0.15</v>
      </c>
      <c r="U161" s="114"/>
      <c r="V161" s="115"/>
      <c r="W161" s="115"/>
      <c r="X161" s="115"/>
    </row>
    <row r="162" spans="1:24" s="3" customFormat="1" ht="11.25" customHeight="1">
      <c r="A162" s="72" t="s">
        <v>54</v>
      </c>
      <c r="B162" s="167" t="s">
        <v>35</v>
      </c>
      <c r="C162" s="168"/>
      <c r="D162" s="111">
        <v>40</v>
      </c>
      <c r="E162" s="112">
        <v>2.04</v>
      </c>
      <c r="F162" s="112">
        <f>2.64*D162/40</f>
        <v>2.64</v>
      </c>
      <c r="G162" s="112">
        <f>0.48*D162/40</f>
        <v>0.48</v>
      </c>
      <c r="H162" s="112">
        <f>13.68*D162/40</f>
        <v>13.680000000000001</v>
      </c>
      <c r="I162" s="110">
        <f>F162*4+G162*9+H162*4</f>
        <v>69.60000000000001</v>
      </c>
      <c r="J162" s="109">
        <f>0.08*D162/40</f>
        <v>0.08</v>
      </c>
      <c r="K162" s="112">
        <f>0.04*D162/40</f>
        <v>0.04</v>
      </c>
      <c r="L162" s="111">
        <v>0</v>
      </c>
      <c r="M162" s="111">
        <v>0</v>
      </c>
      <c r="N162" s="112">
        <f>2.4*D162/40</f>
        <v>2.4</v>
      </c>
      <c r="O162" s="112">
        <f>14*D162/40</f>
        <v>14</v>
      </c>
      <c r="P162" s="112">
        <f>63.2*D162/40</f>
        <v>63.2</v>
      </c>
      <c r="Q162" s="112">
        <f>1.2*D162/40</f>
        <v>1.2</v>
      </c>
      <c r="R162" s="113">
        <f>0.001*D162/40</f>
        <v>0.001</v>
      </c>
      <c r="S162" s="112">
        <f>9.4*D162/40</f>
        <v>9.4</v>
      </c>
      <c r="T162" s="109">
        <f>0.78*D162/40</f>
        <v>0.78</v>
      </c>
      <c r="U162" s="30"/>
      <c r="V162" s="31"/>
      <c r="W162" s="31"/>
      <c r="X162" s="31"/>
    </row>
    <row r="163" spans="1:24" s="3" customFormat="1" ht="11.25" customHeight="1">
      <c r="A163" s="117" t="s">
        <v>54</v>
      </c>
      <c r="B163" s="167" t="s">
        <v>40</v>
      </c>
      <c r="C163" s="168"/>
      <c r="D163" s="111">
        <v>40</v>
      </c>
      <c r="E163" s="112">
        <v>3.1</v>
      </c>
      <c r="F163" s="112">
        <f>1.52*D163/30</f>
        <v>2.0266666666666664</v>
      </c>
      <c r="G163" s="113">
        <f>0.16*D163/30</f>
        <v>0.21333333333333335</v>
      </c>
      <c r="H163" s="113">
        <f>9.84*D163/30</f>
        <v>13.120000000000001</v>
      </c>
      <c r="I163" s="113">
        <f>F163*4+G163*9+H163*4</f>
        <v>62.50666666666667</v>
      </c>
      <c r="J163" s="113">
        <f>0.02*D163/30</f>
        <v>0.02666666666666667</v>
      </c>
      <c r="K163" s="113">
        <f>0.01*D163/30</f>
        <v>0.013333333333333334</v>
      </c>
      <c r="L163" s="113">
        <f>0.44*D163/30</f>
        <v>0.5866666666666667</v>
      </c>
      <c r="M163" s="113">
        <v>0</v>
      </c>
      <c r="N163" s="113">
        <f>0.7*D163/30</f>
        <v>0.9333333333333333</v>
      </c>
      <c r="O163" s="113">
        <f>4*D163/30</f>
        <v>5.333333333333333</v>
      </c>
      <c r="P163" s="113">
        <f>13*D163/30</f>
        <v>17.333333333333332</v>
      </c>
      <c r="Q163" s="113">
        <f>0.008*D163/30</f>
        <v>0.010666666666666666</v>
      </c>
      <c r="R163" s="113">
        <f>0.001*D163/30</f>
        <v>0.0013333333333333333</v>
      </c>
      <c r="S163" s="113">
        <v>0</v>
      </c>
      <c r="T163" s="113">
        <f>0.22*D163/30</f>
        <v>0.29333333333333333</v>
      </c>
      <c r="U163" s="69"/>
      <c r="V163" s="70"/>
      <c r="W163" s="70"/>
      <c r="X163" s="70"/>
    </row>
    <row r="164" spans="1:24" s="3" customFormat="1" ht="11.25" customHeight="1">
      <c r="A164" s="61" t="s">
        <v>28</v>
      </c>
      <c r="B164" s="62"/>
      <c r="C164" s="62"/>
      <c r="D164" s="65">
        <f aca="true" t="shared" si="41" ref="D164:I164">SUM(D157:D163)</f>
        <v>860</v>
      </c>
      <c r="E164" s="118">
        <f t="shared" si="41"/>
        <v>90</v>
      </c>
      <c r="F164" s="39">
        <f t="shared" si="41"/>
        <v>38.31733333333333</v>
      </c>
      <c r="G164" s="38">
        <f t="shared" si="41"/>
        <v>37.46133333333333</v>
      </c>
      <c r="H164" s="38">
        <f t="shared" si="41"/>
        <v>106.35066666666668</v>
      </c>
      <c r="I164" s="38">
        <f t="shared" si="41"/>
        <v>915.404</v>
      </c>
      <c r="J164" s="39">
        <f aca="true" t="shared" si="42" ref="J164:T164">SUM(J157:J163)</f>
        <v>0.4906666666666667</v>
      </c>
      <c r="K164" s="39">
        <f t="shared" si="42"/>
        <v>0.3293333333333333</v>
      </c>
      <c r="L164" s="38">
        <f t="shared" si="42"/>
        <v>15.676666666666666</v>
      </c>
      <c r="M164" s="39">
        <f t="shared" si="42"/>
        <v>15.093</v>
      </c>
      <c r="N164" s="40">
        <f t="shared" si="42"/>
        <v>6.691333333333333</v>
      </c>
      <c r="O164" s="39">
        <f t="shared" si="42"/>
        <v>151.77733333333333</v>
      </c>
      <c r="P164" s="38">
        <f t="shared" si="42"/>
        <v>661.5393333333334</v>
      </c>
      <c r="Q164" s="38">
        <f t="shared" si="42"/>
        <v>4.979546666666667</v>
      </c>
      <c r="R164" s="39">
        <f t="shared" si="42"/>
        <v>0.05595333333333334</v>
      </c>
      <c r="S164" s="38">
        <f t="shared" si="42"/>
        <v>215.49</v>
      </c>
      <c r="T164" s="39">
        <f t="shared" si="42"/>
        <v>9.093333333333332</v>
      </c>
      <c r="U164" s="38"/>
      <c r="V164" s="41"/>
      <c r="W164" s="41"/>
      <c r="X164" s="41"/>
    </row>
    <row r="165" spans="1:24" s="3" customFormat="1" ht="11.25" customHeight="1">
      <c r="A165" s="176" t="s">
        <v>50</v>
      </c>
      <c r="B165" s="177"/>
      <c r="C165" s="177"/>
      <c r="D165" s="178"/>
      <c r="E165" s="126"/>
      <c r="F165" s="119">
        <f aca="true" t="shared" si="43" ref="F165:T165">F164/F172</f>
        <v>0.4257481481481481</v>
      </c>
      <c r="G165" s="71">
        <f t="shared" si="43"/>
        <v>0.4071884057971014</v>
      </c>
      <c r="H165" s="71">
        <f t="shared" si="43"/>
        <v>0.2776779808529156</v>
      </c>
      <c r="I165" s="71">
        <f t="shared" si="43"/>
        <v>0.3365455882352941</v>
      </c>
      <c r="J165" s="71">
        <f t="shared" si="43"/>
        <v>0.3504761904761905</v>
      </c>
      <c r="K165" s="71">
        <f t="shared" si="43"/>
        <v>0.2058333333333333</v>
      </c>
      <c r="L165" s="71">
        <f t="shared" si="43"/>
        <v>0.22395238095238093</v>
      </c>
      <c r="M165" s="71">
        <f t="shared" si="43"/>
        <v>16.77</v>
      </c>
      <c r="N165" s="71">
        <f t="shared" si="43"/>
        <v>0.5576111111111111</v>
      </c>
      <c r="O165" s="71">
        <f t="shared" si="43"/>
        <v>0.1264811111111111</v>
      </c>
      <c r="P165" s="71">
        <f t="shared" si="43"/>
        <v>0.5512827777777778</v>
      </c>
      <c r="Q165" s="71">
        <f t="shared" si="43"/>
        <v>0.35568190476190475</v>
      </c>
      <c r="R165" s="71">
        <f t="shared" si="43"/>
        <v>0.5595333333333333</v>
      </c>
      <c r="S165" s="71">
        <f t="shared" si="43"/>
        <v>0.7183</v>
      </c>
      <c r="T165" s="44">
        <f t="shared" si="43"/>
        <v>0.5051851851851851</v>
      </c>
      <c r="U165" s="48"/>
      <c r="V165" s="41"/>
      <c r="W165" s="41"/>
      <c r="X165" s="41"/>
    </row>
    <row r="166" spans="1:24" s="3" customFormat="1" ht="11.25" customHeight="1">
      <c r="A166" s="206" t="s">
        <v>29</v>
      </c>
      <c r="B166" s="207"/>
      <c r="C166" s="207"/>
      <c r="D166" s="207"/>
      <c r="E166" s="207"/>
      <c r="F166" s="207"/>
      <c r="G166" s="207"/>
      <c r="H166" s="207"/>
      <c r="I166" s="207"/>
      <c r="J166" s="207"/>
      <c r="K166" s="207"/>
      <c r="L166" s="207"/>
      <c r="M166" s="207"/>
      <c r="N166" s="207"/>
      <c r="O166" s="207"/>
      <c r="P166" s="207"/>
      <c r="Q166" s="207"/>
      <c r="R166" s="207"/>
      <c r="S166" s="207"/>
      <c r="T166" s="208"/>
      <c r="U166" s="11"/>
      <c r="V166" s="24"/>
      <c r="W166" s="24"/>
      <c r="X166" s="24"/>
    </row>
    <row r="167" spans="1:20" s="100" customFormat="1" ht="12" customHeight="1">
      <c r="A167" s="149"/>
      <c r="B167" s="187"/>
      <c r="C167" s="187"/>
      <c r="D167" s="124"/>
      <c r="E167" s="101"/>
      <c r="F167" s="101"/>
      <c r="G167" s="152"/>
      <c r="H167" s="152"/>
      <c r="I167" s="101"/>
      <c r="J167" s="101"/>
      <c r="K167" s="101"/>
      <c r="L167" s="101"/>
      <c r="M167" s="151"/>
      <c r="N167" s="152"/>
      <c r="O167" s="101"/>
      <c r="P167" s="101"/>
      <c r="Q167" s="101"/>
      <c r="R167" s="150"/>
      <c r="S167" s="101"/>
      <c r="T167" s="101"/>
    </row>
    <row r="168" spans="1:20" s="100" customFormat="1" ht="12" customHeight="1">
      <c r="A168" s="153"/>
      <c r="B168" s="212"/>
      <c r="C168" s="212"/>
      <c r="D168" s="154"/>
      <c r="E168" s="155"/>
      <c r="F168" s="142"/>
      <c r="G168" s="142"/>
      <c r="H168" s="142"/>
      <c r="I168" s="142"/>
      <c r="J168" s="142"/>
      <c r="K168" s="142"/>
      <c r="L168" s="142"/>
      <c r="M168" s="142"/>
      <c r="N168" s="142"/>
      <c r="O168" s="142"/>
      <c r="P168" s="142"/>
      <c r="Q168" s="142"/>
      <c r="R168" s="142"/>
      <c r="S168" s="142"/>
      <c r="T168" s="142"/>
    </row>
    <row r="169" spans="1:24" s="1" customFormat="1" ht="11.25" customHeight="1">
      <c r="A169" s="61" t="s">
        <v>30</v>
      </c>
      <c r="B169" s="62"/>
      <c r="C169" s="62"/>
      <c r="D169" s="65">
        <f aca="true" t="shared" si="44" ref="D169:I169">SUM(D167:D168)</f>
        <v>0</v>
      </c>
      <c r="E169" s="118">
        <f t="shared" si="44"/>
        <v>0</v>
      </c>
      <c r="F169" s="39">
        <f t="shared" si="44"/>
        <v>0</v>
      </c>
      <c r="G169" s="38">
        <f t="shared" si="44"/>
        <v>0</v>
      </c>
      <c r="H169" s="38">
        <f t="shared" si="44"/>
        <v>0</v>
      </c>
      <c r="I169" s="38">
        <f t="shared" si="44"/>
        <v>0</v>
      </c>
      <c r="J169" s="39">
        <f aca="true" t="shared" si="45" ref="J169:T169">SUM(J167:J168)</f>
        <v>0</v>
      </c>
      <c r="K169" s="39">
        <f t="shared" si="45"/>
        <v>0</v>
      </c>
      <c r="L169" s="39">
        <f t="shared" si="45"/>
        <v>0</v>
      </c>
      <c r="M169" s="39">
        <f t="shared" si="45"/>
        <v>0</v>
      </c>
      <c r="N169" s="40">
        <f t="shared" si="45"/>
        <v>0</v>
      </c>
      <c r="O169" s="39">
        <f t="shared" si="45"/>
        <v>0</v>
      </c>
      <c r="P169" s="39">
        <f t="shared" si="45"/>
        <v>0</v>
      </c>
      <c r="Q169" s="39">
        <f t="shared" si="45"/>
        <v>0</v>
      </c>
      <c r="R169" s="39">
        <f t="shared" si="45"/>
        <v>0</v>
      </c>
      <c r="S169" s="39">
        <f t="shared" si="45"/>
        <v>0</v>
      </c>
      <c r="T169" s="39">
        <f t="shared" si="45"/>
        <v>0</v>
      </c>
      <c r="U169" s="38"/>
      <c r="V169" s="41"/>
      <c r="W169" s="41"/>
      <c r="X169" s="41"/>
    </row>
    <row r="170" spans="1:24" s="1" customFormat="1" ht="11.25" customHeight="1">
      <c r="A170" s="176" t="s">
        <v>50</v>
      </c>
      <c r="B170" s="177"/>
      <c r="C170" s="177"/>
      <c r="D170" s="178"/>
      <c r="E170" s="127"/>
      <c r="F170" s="39">
        <f>F169/F172</f>
        <v>0</v>
      </c>
      <c r="G170" s="44">
        <f aca="true" t="shared" si="46" ref="G170:T170">G169/G172</f>
        <v>0</v>
      </c>
      <c r="H170" s="44">
        <f t="shared" si="46"/>
        <v>0</v>
      </c>
      <c r="I170" s="44">
        <f t="shared" si="46"/>
        <v>0</v>
      </c>
      <c r="J170" s="44">
        <f t="shared" si="46"/>
        <v>0</v>
      </c>
      <c r="K170" s="44">
        <f t="shared" si="46"/>
        <v>0</v>
      </c>
      <c r="L170" s="44">
        <f t="shared" si="46"/>
        <v>0</v>
      </c>
      <c r="M170" s="44">
        <f t="shared" si="46"/>
        <v>0</v>
      </c>
      <c r="N170" s="44">
        <f t="shared" si="46"/>
        <v>0</v>
      </c>
      <c r="O170" s="44">
        <f t="shared" si="46"/>
        <v>0</v>
      </c>
      <c r="P170" s="44">
        <f t="shared" si="46"/>
        <v>0</v>
      </c>
      <c r="Q170" s="44">
        <f t="shared" si="46"/>
        <v>0</v>
      </c>
      <c r="R170" s="44">
        <f t="shared" si="46"/>
        <v>0</v>
      </c>
      <c r="S170" s="44">
        <f t="shared" si="46"/>
        <v>0</v>
      </c>
      <c r="T170" s="44">
        <f t="shared" si="46"/>
        <v>0</v>
      </c>
      <c r="U170" s="48"/>
      <c r="V170" s="41"/>
      <c r="W170" s="41"/>
      <c r="X170" s="41"/>
    </row>
    <row r="171" spans="1:24" s="1" customFormat="1" ht="11.25" customHeight="1">
      <c r="A171" s="61" t="s">
        <v>49</v>
      </c>
      <c r="B171" s="62"/>
      <c r="C171" s="62"/>
      <c r="D171" s="89">
        <f>D164+D154</f>
        <v>1540</v>
      </c>
      <c r="E171" s="136">
        <f>E164+E154</f>
        <v>170</v>
      </c>
      <c r="F171" s="39">
        <f aca="true" t="shared" si="47" ref="F171:T171">SUM(F154,F164,F169)</f>
        <v>53.214</v>
      </c>
      <c r="G171" s="38">
        <f t="shared" si="47"/>
        <v>55.13466666666666</v>
      </c>
      <c r="H171" s="38">
        <f t="shared" si="47"/>
        <v>182.90066666666667</v>
      </c>
      <c r="I171" s="38">
        <f t="shared" si="47"/>
        <v>1440.2506666666668</v>
      </c>
      <c r="J171" s="39">
        <f t="shared" si="47"/>
        <v>0.8253333333333334</v>
      </c>
      <c r="K171" s="39">
        <f t="shared" si="47"/>
        <v>0.6526666666666667</v>
      </c>
      <c r="L171" s="38">
        <f t="shared" si="47"/>
        <v>46.70333333333333</v>
      </c>
      <c r="M171" s="39">
        <f t="shared" si="47"/>
        <v>15.259</v>
      </c>
      <c r="N171" s="39">
        <f t="shared" si="47"/>
        <v>8.169666666666666</v>
      </c>
      <c r="O171" s="38">
        <f t="shared" si="47"/>
        <v>512.9406666666666</v>
      </c>
      <c r="P171" s="38">
        <f t="shared" si="47"/>
        <v>1031.4926666666668</v>
      </c>
      <c r="Q171" s="39">
        <f t="shared" si="47"/>
        <v>5.8582133333333335</v>
      </c>
      <c r="R171" s="40">
        <f t="shared" si="47"/>
        <v>0.10228666666666668</v>
      </c>
      <c r="S171" s="39">
        <f t="shared" si="47"/>
        <v>310.58000000000004</v>
      </c>
      <c r="T171" s="39">
        <f t="shared" si="47"/>
        <v>16.446666666666665</v>
      </c>
      <c r="U171" s="42"/>
      <c r="V171" s="41"/>
      <c r="W171" s="41"/>
      <c r="X171" s="41"/>
    </row>
    <row r="172" spans="1:24" s="1" customFormat="1" ht="11.25" customHeight="1">
      <c r="A172" s="169" t="s">
        <v>51</v>
      </c>
      <c r="B172" s="170"/>
      <c r="C172" s="170"/>
      <c r="D172" s="171"/>
      <c r="E172" s="132"/>
      <c r="F172" s="112">
        <v>90</v>
      </c>
      <c r="G172" s="110">
        <v>92</v>
      </c>
      <c r="H172" s="110">
        <v>383</v>
      </c>
      <c r="I172" s="110">
        <v>2720</v>
      </c>
      <c r="J172" s="112">
        <v>1.4</v>
      </c>
      <c r="K172" s="112">
        <v>1.6</v>
      </c>
      <c r="L172" s="111">
        <v>70</v>
      </c>
      <c r="M172" s="112">
        <v>0.9</v>
      </c>
      <c r="N172" s="111">
        <v>12</v>
      </c>
      <c r="O172" s="111">
        <v>1200</v>
      </c>
      <c r="P172" s="111">
        <v>1200</v>
      </c>
      <c r="Q172" s="111">
        <v>14</v>
      </c>
      <c r="R172" s="110">
        <v>0.1</v>
      </c>
      <c r="S172" s="111">
        <v>300</v>
      </c>
      <c r="T172" s="112">
        <v>18</v>
      </c>
      <c r="U172" s="69"/>
      <c r="V172" s="70"/>
      <c r="W172" s="70"/>
      <c r="X172" s="70"/>
    </row>
    <row r="173" spans="1:24" s="1" customFormat="1" ht="11.25" customHeight="1">
      <c r="A173" s="176" t="s">
        <v>50</v>
      </c>
      <c r="B173" s="177"/>
      <c r="C173" s="177"/>
      <c r="D173" s="178"/>
      <c r="E173" s="127"/>
      <c r="F173" s="71">
        <f aca="true" t="shared" si="48" ref="F173:T173">F171/F172</f>
        <v>0.5912666666666666</v>
      </c>
      <c r="G173" s="44">
        <f t="shared" si="48"/>
        <v>0.5992898550724637</v>
      </c>
      <c r="H173" s="44">
        <f t="shared" si="48"/>
        <v>0.4775474325500435</v>
      </c>
      <c r="I173" s="44">
        <f t="shared" si="48"/>
        <v>0.5295039215686275</v>
      </c>
      <c r="J173" s="44">
        <f t="shared" si="48"/>
        <v>0.5895238095238096</v>
      </c>
      <c r="K173" s="44">
        <f t="shared" si="48"/>
        <v>0.4079166666666667</v>
      </c>
      <c r="L173" s="44">
        <f t="shared" si="48"/>
        <v>0.6671904761904762</v>
      </c>
      <c r="M173" s="45">
        <f t="shared" si="48"/>
        <v>16.954444444444444</v>
      </c>
      <c r="N173" s="44">
        <f t="shared" si="48"/>
        <v>0.6808055555555556</v>
      </c>
      <c r="O173" s="44">
        <f t="shared" si="48"/>
        <v>0.4274505555555555</v>
      </c>
      <c r="P173" s="44">
        <f t="shared" si="48"/>
        <v>0.8595772222222223</v>
      </c>
      <c r="Q173" s="44">
        <f t="shared" si="48"/>
        <v>0.41844380952380955</v>
      </c>
      <c r="R173" s="45">
        <f t="shared" si="48"/>
        <v>1.0228666666666668</v>
      </c>
      <c r="S173" s="44">
        <f t="shared" si="48"/>
        <v>1.0352666666666668</v>
      </c>
      <c r="T173" s="45">
        <f t="shared" si="48"/>
        <v>0.9137037037037037</v>
      </c>
      <c r="U173" s="46"/>
      <c r="V173" s="47"/>
      <c r="W173" s="47"/>
      <c r="X173" s="47"/>
    </row>
    <row r="174" spans="1:24" s="1" customFormat="1" ht="11.25" customHeight="1">
      <c r="A174" s="57"/>
      <c r="B174" s="54"/>
      <c r="C174" s="54"/>
      <c r="D174" s="104"/>
      <c r="E174" s="104"/>
      <c r="F174" s="105"/>
      <c r="G174" s="104"/>
      <c r="H174" s="104"/>
      <c r="I174" s="104"/>
      <c r="J174" s="104"/>
      <c r="K174" s="104"/>
      <c r="L174" s="104"/>
      <c r="M174" s="195" t="s">
        <v>53</v>
      </c>
      <c r="N174" s="195"/>
      <c r="O174" s="195"/>
      <c r="P174" s="195"/>
      <c r="Q174" s="195"/>
      <c r="R174" s="195"/>
      <c r="S174" s="195"/>
      <c r="T174" s="195"/>
      <c r="U174" s="12"/>
      <c r="V174" s="19"/>
      <c r="W174" s="19"/>
      <c r="X174" s="19"/>
    </row>
    <row r="175" spans="1:24" s="3" customFormat="1" ht="11.25" customHeight="1">
      <c r="A175" s="188"/>
      <c r="B175" s="188"/>
      <c r="C175" s="188"/>
      <c r="D175" s="188"/>
      <c r="E175" s="188"/>
      <c r="F175" s="188"/>
      <c r="G175" s="188"/>
      <c r="H175" s="188"/>
      <c r="I175" s="188"/>
      <c r="J175" s="188"/>
      <c r="K175" s="188"/>
      <c r="L175" s="188"/>
      <c r="M175" s="188"/>
      <c r="N175" s="188"/>
      <c r="O175" s="188"/>
      <c r="P175" s="188"/>
      <c r="Q175" s="188"/>
      <c r="R175" s="188"/>
      <c r="S175" s="188"/>
      <c r="T175" s="188"/>
      <c r="U175" s="13"/>
      <c r="V175" s="25"/>
      <c r="W175" s="25"/>
      <c r="X175" s="25"/>
    </row>
    <row r="176" spans="1:24" s="3" customFormat="1" ht="11.25" customHeight="1">
      <c r="A176" s="58" t="s">
        <v>42</v>
      </c>
      <c r="B176" s="54"/>
      <c r="C176" s="54"/>
      <c r="D176" s="2"/>
      <c r="E176" s="2"/>
      <c r="F176" s="105"/>
      <c r="G176" s="197" t="s">
        <v>0</v>
      </c>
      <c r="H176" s="197"/>
      <c r="I176" s="197"/>
      <c r="J176" s="104"/>
      <c r="K176" s="104"/>
      <c r="L176" s="193" t="s">
        <v>1</v>
      </c>
      <c r="M176" s="193"/>
      <c r="N176" s="189"/>
      <c r="O176" s="189"/>
      <c r="P176" s="189"/>
      <c r="Q176" s="189"/>
      <c r="R176" s="104"/>
      <c r="S176" s="104"/>
      <c r="T176" s="104"/>
      <c r="U176" s="14"/>
      <c r="V176" s="20"/>
      <c r="W176" s="20"/>
      <c r="X176" s="20"/>
    </row>
    <row r="177" spans="1:24" s="3" customFormat="1" ht="11.25" customHeight="1">
      <c r="A177" s="54"/>
      <c r="B177" s="54"/>
      <c r="C177" s="54"/>
      <c r="D177" s="186" t="s">
        <v>2</v>
      </c>
      <c r="E177" s="186"/>
      <c r="F177" s="186"/>
      <c r="G177" s="7">
        <v>2</v>
      </c>
      <c r="H177" s="104"/>
      <c r="I177" s="2"/>
      <c r="J177" s="2"/>
      <c r="K177" s="2"/>
      <c r="L177" s="186" t="s">
        <v>3</v>
      </c>
      <c r="M177" s="186"/>
      <c r="N177" s="205" t="s">
        <v>44</v>
      </c>
      <c r="O177" s="205"/>
      <c r="P177" s="205"/>
      <c r="Q177" s="205"/>
      <c r="R177" s="205"/>
      <c r="S177" s="205"/>
      <c r="T177" s="205"/>
      <c r="U177" s="15"/>
      <c r="V177" s="21"/>
      <c r="W177" s="21"/>
      <c r="X177" s="21"/>
    </row>
    <row r="178" spans="1:24" s="1" customFormat="1" ht="21.75" customHeight="1">
      <c r="A178" s="190" t="s">
        <v>4</v>
      </c>
      <c r="B178" s="198" t="s">
        <v>5</v>
      </c>
      <c r="C178" s="199"/>
      <c r="D178" s="190" t="s">
        <v>6</v>
      </c>
      <c r="E178" s="131"/>
      <c r="F178" s="183" t="s">
        <v>7</v>
      </c>
      <c r="G178" s="184"/>
      <c r="H178" s="185"/>
      <c r="I178" s="190" t="s">
        <v>8</v>
      </c>
      <c r="J178" s="183" t="s">
        <v>9</v>
      </c>
      <c r="K178" s="184"/>
      <c r="L178" s="184"/>
      <c r="M178" s="184"/>
      <c r="N178" s="185"/>
      <c r="O178" s="183" t="s">
        <v>10</v>
      </c>
      <c r="P178" s="184"/>
      <c r="Q178" s="184"/>
      <c r="R178" s="184"/>
      <c r="S178" s="184"/>
      <c r="T178" s="185"/>
      <c r="U178" s="9"/>
      <c r="V178" s="22"/>
      <c r="W178" s="22"/>
      <c r="X178" s="22"/>
    </row>
    <row r="179" spans="1:24" s="1" customFormat="1" ht="21" customHeight="1">
      <c r="A179" s="191"/>
      <c r="B179" s="200"/>
      <c r="C179" s="201"/>
      <c r="D179" s="191"/>
      <c r="E179" s="130"/>
      <c r="F179" s="82" t="s">
        <v>11</v>
      </c>
      <c r="G179" s="134" t="s">
        <v>12</v>
      </c>
      <c r="H179" s="134" t="s">
        <v>13</v>
      </c>
      <c r="I179" s="191"/>
      <c r="J179" s="134" t="s">
        <v>14</v>
      </c>
      <c r="K179" s="134" t="s">
        <v>45</v>
      </c>
      <c r="L179" s="134" t="s">
        <v>15</v>
      </c>
      <c r="M179" s="134" t="s">
        <v>16</v>
      </c>
      <c r="N179" s="134" t="s">
        <v>17</v>
      </c>
      <c r="O179" s="134" t="s">
        <v>18</v>
      </c>
      <c r="P179" s="134" t="s">
        <v>19</v>
      </c>
      <c r="Q179" s="134" t="s">
        <v>46</v>
      </c>
      <c r="R179" s="134" t="s">
        <v>48</v>
      </c>
      <c r="S179" s="134" t="s">
        <v>20</v>
      </c>
      <c r="T179" s="134" t="s">
        <v>21</v>
      </c>
      <c r="U179" s="9"/>
      <c r="V179" s="22"/>
      <c r="W179" s="22"/>
      <c r="X179" s="22"/>
    </row>
    <row r="180" spans="1:24" s="1" customFormat="1" ht="11.25" customHeight="1">
      <c r="A180" s="133">
        <v>1</v>
      </c>
      <c r="B180" s="179">
        <v>2</v>
      </c>
      <c r="C180" s="180"/>
      <c r="D180" s="37">
        <v>3</v>
      </c>
      <c r="E180" s="37"/>
      <c r="F180" s="83">
        <v>4</v>
      </c>
      <c r="G180" s="37">
        <v>5</v>
      </c>
      <c r="H180" s="37">
        <v>6</v>
      </c>
      <c r="I180" s="37">
        <v>7</v>
      </c>
      <c r="J180" s="37">
        <v>8</v>
      </c>
      <c r="K180" s="37">
        <v>9</v>
      </c>
      <c r="L180" s="37">
        <v>10</v>
      </c>
      <c r="M180" s="37">
        <v>11</v>
      </c>
      <c r="N180" s="37">
        <v>12</v>
      </c>
      <c r="O180" s="37">
        <v>13</v>
      </c>
      <c r="P180" s="37">
        <v>14</v>
      </c>
      <c r="Q180" s="37">
        <v>15</v>
      </c>
      <c r="R180" s="37">
        <v>16</v>
      </c>
      <c r="S180" s="37">
        <v>17</v>
      </c>
      <c r="T180" s="37">
        <v>18</v>
      </c>
      <c r="U180" s="10"/>
      <c r="V180" s="23"/>
      <c r="W180" s="23"/>
      <c r="X180" s="23"/>
    </row>
    <row r="181" spans="1:24" s="1" customFormat="1" ht="11.25" customHeight="1">
      <c r="A181" s="206" t="s">
        <v>22</v>
      </c>
      <c r="B181" s="207"/>
      <c r="C181" s="207"/>
      <c r="D181" s="207"/>
      <c r="E181" s="207"/>
      <c r="F181" s="207"/>
      <c r="G181" s="207"/>
      <c r="H181" s="207"/>
      <c r="I181" s="207"/>
      <c r="J181" s="207"/>
      <c r="K181" s="207"/>
      <c r="L181" s="207"/>
      <c r="M181" s="207"/>
      <c r="N181" s="207"/>
      <c r="O181" s="207"/>
      <c r="P181" s="207"/>
      <c r="Q181" s="207"/>
      <c r="R181" s="207"/>
      <c r="S181" s="207"/>
      <c r="T181" s="208"/>
      <c r="U181" s="11"/>
      <c r="V181" s="24"/>
      <c r="W181" s="24"/>
      <c r="X181" s="24"/>
    </row>
    <row r="182" spans="1:24" s="104" customFormat="1" ht="23.25" customHeight="1">
      <c r="A182" s="67">
        <v>71</v>
      </c>
      <c r="B182" s="167" t="s">
        <v>52</v>
      </c>
      <c r="C182" s="168"/>
      <c r="D182" s="73">
        <v>40</v>
      </c>
      <c r="E182" s="125">
        <v>9.41</v>
      </c>
      <c r="F182" s="125">
        <f>0.5*D182/60</f>
        <v>0.3333333333333333</v>
      </c>
      <c r="G182" s="125">
        <f>0.03*D182/30</f>
        <v>0.04</v>
      </c>
      <c r="H182" s="125">
        <f>1.7*D182/60</f>
        <v>1.1333333333333333</v>
      </c>
      <c r="I182" s="125">
        <f>F182*4+G182*9+H182*4</f>
        <v>6.226666666666667</v>
      </c>
      <c r="J182" s="74">
        <v>0.009</v>
      </c>
      <c r="K182" s="125">
        <v>0.01</v>
      </c>
      <c r="L182" s="75">
        <v>3</v>
      </c>
      <c r="M182" s="74">
        <v>0.003</v>
      </c>
      <c r="N182" s="73">
        <v>0.03</v>
      </c>
      <c r="O182" s="125">
        <v>6.9</v>
      </c>
      <c r="P182" s="125">
        <v>12.6</v>
      </c>
      <c r="Q182" s="74">
        <v>0.064</v>
      </c>
      <c r="R182" s="74">
        <v>0.001</v>
      </c>
      <c r="S182" s="125">
        <v>4.2</v>
      </c>
      <c r="T182" s="125">
        <v>0.18</v>
      </c>
      <c r="U182" s="114"/>
      <c r="V182" s="115"/>
      <c r="W182" s="115"/>
      <c r="X182" s="115"/>
    </row>
    <row r="183" spans="1:24" s="104" customFormat="1" ht="22.5" customHeight="1">
      <c r="A183" s="140">
        <v>591</v>
      </c>
      <c r="B183" s="181" t="s">
        <v>83</v>
      </c>
      <c r="C183" s="182"/>
      <c r="D183" s="141">
        <v>120</v>
      </c>
      <c r="E183" s="142">
        <v>45.68</v>
      </c>
      <c r="F183" s="142">
        <v>5.86</v>
      </c>
      <c r="G183" s="142">
        <v>16.31</v>
      </c>
      <c r="H183" s="142">
        <v>3.07</v>
      </c>
      <c r="I183" s="142">
        <v>182.51</v>
      </c>
      <c r="J183" s="142">
        <v>0.14</v>
      </c>
      <c r="K183" s="142">
        <v>0.05</v>
      </c>
      <c r="L183" s="142">
        <v>0.09</v>
      </c>
      <c r="M183" s="142">
        <v>0</v>
      </c>
      <c r="N183" s="142">
        <v>0</v>
      </c>
      <c r="O183" s="142">
        <v>9.54</v>
      </c>
      <c r="P183" s="142">
        <v>63.38</v>
      </c>
      <c r="Q183" s="142">
        <v>1.12</v>
      </c>
      <c r="R183" s="142">
        <v>2.55</v>
      </c>
      <c r="S183" s="142">
        <v>11.3</v>
      </c>
      <c r="T183" s="142">
        <v>0.75</v>
      </c>
      <c r="U183" s="114"/>
      <c r="V183" s="115"/>
      <c r="W183" s="115"/>
      <c r="X183" s="115"/>
    </row>
    <row r="184" spans="1:24" s="104" customFormat="1" ht="19.5" customHeight="1">
      <c r="A184" s="133">
        <v>304</v>
      </c>
      <c r="B184" s="166" t="s">
        <v>77</v>
      </c>
      <c r="C184" s="166"/>
      <c r="D184" s="111">
        <v>180</v>
      </c>
      <c r="E184" s="112">
        <v>8.2</v>
      </c>
      <c r="F184" s="112">
        <v>4.44</v>
      </c>
      <c r="G184" s="112">
        <v>6.44</v>
      </c>
      <c r="H184" s="112">
        <v>44.01</v>
      </c>
      <c r="I184" s="112">
        <v>251.82</v>
      </c>
      <c r="J184" s="112">
        <v>0.036</v>
      </c>
      <c r="K184" s="109">
        <v>0.024</v>
      </c>
      <c r="L184" s="112">
        <v>0</v>
      </c>
      <c r="M184" s="109">
        <v>0.048</v>
      </c>
      <c r="N184" s="110">
        <v>0</v>
      </c>
      <c r="O184" s="110">
        <v>17.93</v>
      </c>
      <c r="P184" s="111">
        <v>95.25</v>
      </c>
      <c r="Q184" s="116">
        <v>0</v>
      </c>
      <c r="R184" s="110">
        <v>0.001</v>
      </c>
      <c r="S184" s="112">
        <v>33.47</v>
      </c>
      <c r="T184" s="114">
        <v>0.708</v>
      </c>
      <c r="U184" s="115"/>
      <c r="V184" s="115"/>
      <c r="W184" s="115"/>
      <c r="X184" s="115"/>
    </row>
    <row r="185" spans="1:24" s="104" customFormat="1" ht="12.75" customHeight="1">
      <c r="A185" s="133">
        <v>376</v>
      </c>
      <c r="B185" s="166" t="s">
        <v>93</v>
      </c>
      <c r="C185" s="166"/>
      <c r="D185" s="111">
        <v>200</v>
      </c>
      <c r="E185" s="112">
        <v>2.2</v>
      </c>
      <c r="F185" s="112">
        <v>0.2</v>
      </c>
      <c r="G185" s="112">
        <v>0.05</v>
      </c>
      <c r="H185" s="112">
        <v>15.01</v>
      </c>
      <c r="I185" s="112">
        <v>61.29</v>
      </c>
      <c r="J185" s="112">
        <v>0</v>
      </c>
      <c r="K185" s="112">
        <v>0.01</v>
      </c>
      <c r="L185" s="112">
        <v>9</v>
      </c>
      <c r="M185" s="109">
        <v>0</v>
      </c>
      <c r="N185" s="112">
        <v>0.045</v>
      </c>
      <c r="O185" s="112">
        <v>5.25</v>
      </c>
      <c r="P185" s="112">
        <v>8.24</v>
      </c>
      <c r="Q185" s="112">
        <v>0.008</v>
      </c>
      <c r="R185" s="113">
        <v>0</v>
      </c>
      <c r="S185" s="112">
        <v>4.4</v>
      </c>
      <c r="T185" s="112">
        <v>0.87</v>
      </c>
      <c r="U185" s="114"/>
      <c r="V185" s="115"/>
      <c r="W185" s="115"/>
      <c r="X185" s="115"/>
    </row>
    <row r="186" spans="1:24" s="104" customFormat="1" ht="11.25" customHeight="1">
      <c r="A186" s="117" t="s">
        <v>54</v>
      </c>
      <c r="B186" s="167" t="s">
        <v>40</v>
      </c>
      <c r="C186" s="168"/>
      <c r="D186" s="111">
        <v>40</v>
      </c>
      <c r="E186" s="112">
        <v>3.1</v>
      </c>
      <c r="F186" s="112">
        <f>1.52*D186/30</f>
        <v>2.0266666666666664</v>
      </c>
      <c r="G186" s="113">
        <f>0.16*D186/30</f>
        <v>0.21333333333333335</v>
      </c>
      <c r="H186" s="113">
        <f>9.84*D186/30</f>
        <v>13.120000000000001</v>
      </c>
      <c r="I186" s="113">
        <f>F186*4+G186*9+H186*4</f>
        <v>62.50666666666667</v>
      </c>
      <c r="J186" s="113">
        <f>0.02*D186/30</f>
        <v>0.02666666666666667</v>
      </c>
      <c r="K186" s="113">
        <f>0.01*D186/30</f>
        <v>0.013333333333333334</v>
      </c>
      <c r="L186" s="113">
        <f>0.44*D186/30</f>
        <v>0.5866666666666667</v>
      </c>
      <c r="M186" s="113">
        <v>0</v>
      </c>
      <c r="N186" s="113">
        <f>0.7*D186/30</f>
        <v>0.9333333333333333</v>
      </c>
      <c r="O186" s="113">
        <f>4*D186/30</f>
        <v>5.333333333333333</v>
      </c>
      <c r="P186" s="113">
        <f>13*D186/30</f>
        <v>17.333333333333332</v>
      </c>
      <c r="Q186" s="113">
        <f>0.008*D186/30</f>
        <v>0.010666666666666666</v>
      </c>
      <c r="R186" s="113">
        <f>0.001*D186/30</f>
        <v>0.0013333333333333333</v>
      </c>
      <c r="S186" s="113">
        <v>0</v>
      </c>
      <c r="T186" s="113">
        <f>0.22*D186/30</f>
        <v>0.29333333333333333</v>
      </c>
      <c r="U186" s="114"/>
      <c r="V186" s="115"/>
      <c r="W186" s="115"/>
      <c r="X186" s="115"/>
    </row>
    <row r="187" spans="1:20" s="100" customFormat="1" ht="12.75" customHeight="1">
      <c r="A187" s="143" t="s">
        <v>54</v>
      </c>
      <c r="B187" s="187" t="s">
        <v>85</v>
      </c>
      <c r="C187" s="187"/>
      <c r="D187" s="124">
        <v>20</v>
      </c>
      <c r="E187" s="101">
        <v>11.41</v>
      </c>
      <c r="F187" s="101">
        <v>0.4</v>
      </c>
      <c r="G187" s="101">
        <v>0.4</v>
      </c>
      <c r="H187" s="101">
        <v>9.8</v>
      </c>
      <c r="I187" s="101">
        <f>F187*4+G187*9+H187*4</f>
        <v>44.400000000000006</v>
      </c>
      <c r="J187" s="101">
        <v>0.04</v>
      </c>
      <c r="K187" s="101">
        <v>0.02</v>
      </c>
      <c r="L187" s="124">
        <v>10</v>
      </c>
      <c r="M187" s="124">
        <v>0.02</v>
      </c>
      <c r="N187" s="101">
        <v>0.2</v>
      </c>
      <c r="O187" s="101">
        <v>16</v>
      </c>
      <c r="P187" s="101">
        <v>11</v>
      </c>
      <c r="Q187" s="124">
        <v>0.03</v>
      </c>
      <c r="R187" s="124">
        <v>0.002</v>
      </c>
      <c r="S187" s="101">
        <v>9</v>
      </c>
      <c r="T187" s="101">
        <v>2.2</v>
      </c>
    </row>
    <row r="188" spans="1:24" s="104" customFormat="1" ht="11.25" customHeight="1">
      <c r="A188" s="63" t="str">
        <f>A256</f>
        <v>Итого за Завтрак мясной</v>
      </c>
      <c r="B188" s="64"/>
      <c r="C188" s="64"/>
      <c r="D188" s="65">
        <f>SUM(D182:D187)</f>
        <v>600</v>
      </c>
      <c r="E188" s="118">
        <f>SUM(E182:E187)</f>
        <v>80</v>
      </c>
      <c r="F188" s="39">
        <f>SUM(F182:F187)</f>
        <v>13.26</v>
      </c>
      <c r="G188" s="39">
        <f aca="true" t="shared" si="49" ref="G188:T188">SUM(G182:G187)</f>
        <v>23.453333333333333</v>
      </c>
      <c r="H188" s="39">
        <f t="shared" si="49"/>
        <v>86.14333333333333</v>
      </c>
      <c r="I188" s="39">
        <f t="shared" si="49"/>
        <v>608.7533333333333</v>
      </c>
      <c r="J188" s="39">
        <f t="shared" si="49"/>
        <v>0.2516666666666667</v>
      </c>
      <c r="K188" s="39">
        <f t="shared" si="49"/>
        <v>0.12733333333333333</v>
      </c>
      <c r="L188" s="39">
        <f t="shared" si="49"/>
        <v>22.676666666666666</v>
      </c>
      <c r="M188" s="39">
        <f t="shared" si="49"/>
        <v>0.07100000000000001</v>
      </c>
      <c r="N188" s="39">
        <f t="shared" si="49"/>
        <v>1.2083333333333333</v>
      </c>
      <c r="O188" s="39">
        <f t="shared" si="49"/>
        <v>60.95333333333333</v>
      </c>
      <c r="P188" s="39">
        <f t="shared" si="49"/>
        <v>207.80333333333337</v>
      </c>
      <c r="Q188" s="39">
        <f t="shared" si="49"/>
        <v>1.2326666666666668</v>
      </c>
      <c r="R188" s="39">
        <f t="shared" si="49"/>
        <v>2.5553333333333326</v>
      </c>
      <c r="S188" s="39">
        <f t="shared" si="49"/>
        <v>62.37</v>
      </c>
      <c r="T188" s="39">
        <f t="shared" si="49"/>
        <v>5.001333333333333</v>
      </c>
      <c r="U188" s="38"/>
      <c r="V188" s="106"/>
      <c r="W188" s="106"/>
      <c r="X188" s="106"/>
    </row>
    <row r="189" spans="1:24" s="104" customFormat="1" ht="11.25" customHeight="1">
      <c r="A189" s="176" t="s">
        <v>50</v>
      </c>
      <c r="B189" s="177"/>
      <c r="C189" s="177"/>
      <c r="D189" s="178"/>
      <c r="E189" s="126"/>
      <c r="F189" s="119">
        <f aca="true" t="shared" si="50" ref="F189:T189">F188/F207</f>
        <v>0.14733333333333334</v>
      </c>
      <c r="G189" s="44">
        <f t="shared" si="50"/>
        <v>0.2549275362318841</v>
      </c>
      <c r="H189" s="44">
        <f t="shared" si="50"/>
        <v>0.22491731940818102</v>
      </c>
      <c r="I189" s="44">
        <f t="shared" si="50"/>
        <v>0.2238063725490196</v>
      </c>
      <c r="J189" s="44">
        <f t="shared" si="50"/>
        <v>0.1797619047619048</v>
      </c>
      <c r="K189" s="44">
        <f t="shared" si="50"/>
        <v>0.07958333333333333</v>
      </c>
      <c r="L189" s="44">
        <f t="shared" si="50"/>
        <v>0.32395238095238094</v>
      </c>
      <c r="M189" s="44">
        <f t="shared" si="50"/>
        <v>0.0788888888888889</v>
      </c>
      <c r="N189" s="44">
        <f t="shared" si="50"/>
        <v>0.10069444444444443</v>
      </c>
      <c r="O189" s="44">
        <f t="shared" si="50"/>
        <v>0.05079444444444445</v>
      </c>
      <c r="P189" s="44">
        <f t="shared" si="50"/>
        <v>0.1731694444444445</v>
      </c>
      <c r="Q189" s="44">
        <f t="shared" si="50"/>
        <v>0.08804761904761906</v>
      </c>
      <c r="R189" s="44">
        <f t="shared" si="50"/>
        <v>25.553333333333324</v>
      </c>
      <c r="S189" s="44">
        <f t="shared" si="50"/>
        <v>0.2079</v>
      </c>
      <c r="T189" s="44">
        <f t="shared" si="50"/>
        <v>0.27785185185185185</v>
      </c>
      <c r="U189" s="108"/>
      <c r="V189" s="106"/>
      <c r="W189" s="106"/>
      <c r="X189" s="106"/>
    </row>
    <row r="190" spans="1:20" s="100" customFormat="1" ht="14.25" customHeight="1">
      <c r="A190" s="144" t="s">
        <v>54</v>
      </c>
      <c r="B190" s="217" t="s">
        <v>90</v>
      </c>
      <c r="C190" s="217"/>
      <c r="D190" s="145">
        <v>200</v>
      </c>
      <c r="E190" s="146"/>
      <c r="F190" s="147">
        <v>5.6</v>
      </c>
      <c r="G190" s="147">
        <v>6.4</v>
      </c>
      <c r="H190" s="147">
        <v>9.4</v>
      </c>
      <c r="I190" s="147">
        <v>117.6</v>
      </c>
      <c r="J190" s="147">
        <v>0.08</v>
      </c>
      <c r="K190" s="147">
        <v>0.307</v>
      </c>
      <c r="L190" s="147">
        <v>2.6</v>
      </c>
      <c r="M190" s="147">
        <v>0.067</v>
      </c>
      <c r="N190" s="147">
        <v>0.292</v>
      </c>
      <c r="O190" s="147">
        <v>240</v>
      </c>
      <c r="P190" s="147">
        <v>180</v>
      </c>
      <c r="Q190" s="147">
        <v>0.8</v>
      </c>
      <c r="R190" s="147">
        <v>0.018</v>
      </c>
      <c r="S190" s="147">
        <v>28</v>
      </c>
      <c r="T190" s="147">
        <v>0.12</v>
      </c>
    </row>
    <row r="191" spans="1:24" s="104" customFormat="1" ht="11.25" customHeight="1">
      <c r="A191" s="213" t="str">
        <f>A224</f>
        <v>Обед (полноценный рацион питания)</v>
      </c>
      <c r="B191" s="214"/>
      <c r="C191" s="214"/>
      <c r="D191" s="214"/>
      <c r="E191" s="214"/>
      <c r="F191" s="214"/>
      <c r="G191" s="214"/>
      <c r="H191" s="214"/>
      <c r="I191" s="214"/>
      <c r="J191" s="214"/>
      <c r="K191" s="214"/>
      <c r="L191" s="214"/>
      <c r="M191" s="214"/>
      <c r="N191" s="214"/>
      <c r="O191" s="214"/>
      <c r="P191" s="214"/>
      <c r="Q191" s="214"/>
      <c r="R191" s="214"/>
      <c r="S191" s="214"/>
      <c r="T191" s="215"/>
      <c r="U191" s="11"/>
      <c r="V191" s="24"/>
      <c r="W191" s="24"/>
      <c r="X191" s="24"/>
    </row>
    <row r="192" spans="1:24" s="104" customFormat="1" ht="21" customHeight="1">
      <c r="A192" s="133">
        <v>45</v>
      </c>
      <c r="B192" s="166" t="s">
        <v>69</v>
      </c>
      <c r="C192" s="166"/>
      <c r="D192" s="111">
        <v>100</v>
      </c>
      <c r="E192" s="112">
        <v>8.44</v>
      </c>
      <c r="F192" s="112">
        <f>0.9*D192/60</f>
        <v>1.5</v>
      </c>
      <c r="G192" s="112">
        <f>1.31*D192/60</f>
        <v>2.183333333333333</v>
      </c>
      <c r="H192" s="112">
        <f>5.6*D192/60</f>
        <v>9.333333333333334</v>
      </c>
      <c r="I192" s="112">
        <f>F192*4+G192*9+H192*4</f>
        <v>62.983333333333334</v>
      </c>
      <c r="J192" s="112">
        <f>0.06*D192/60</f>
        <v>0.1</v>
      </c>
      <c r="K192" s="112">
        <f>0.07*D192/60</f>
        <v>0.11666666666666668</v>
      </c>
      <c r="L192" s="112">
        <f>15.5*D192/60</f>
        <v>25.833333333333332</v>
      </c>
      <c r="M192" s="113">
        <f>0.071*D192/60</f>
        <v>0.11833333333333333</v>
      </c>
      <c r="N192" s="112">
        <f>0.3*D192/60</f>
        <v>0.5</v>
      </c>
      <c r="O192" s="112">
        <f>28.2*D192/60</f>
        <v>47</v>
      </c>
      <c r="P192" s="112">
        <f>18.9*D192/60</f>
        <v>31.499999999999996</v>
      </c>
      <c r="Q192" s="112">
        <f>0.2*D192/60</f>
        <v>0.3333333333333333</v>
      </c>
      <c r="R192" s="113">
        <f>0.001*D192/60</f>
        <v>0.0016666666666666668</v>
      </c>
      <c r="S192" s="112">
        <f>10.5*D192/60</f>
        <v>17.5</v>
      </c>
      <c r="T192" s="112">
        <f>0.6*D192/60</f>
        <v>1</v>
      </c>
      <c r="U192" s="114"/>
      <c r="V192" s="115"/>
      <c r="W192" s="115"/>
      <c r="X192" s="115"/>
    </row>
    <row r="193" spans="1:24" s="104" customFormat="1" ht="9.75">
      <c r="A193" s="117">
        <v>108</v>
      </c>
      <c r="B193" s="167" t="s">
        <v>81</v>
      </c>
      <c r="C193" s="168"/>
      <c r="D193" s="109">
        <v>250</v>
      </c>
      <c r="E193" s="112">
        <v>11.87</v>
      </c>
      <c r="F193" s="112">
        <f>2.52*D193/200</f>
        <v>3.15</v>
      </c>
      <c r="G193" s="113">
        <f>2.84*D193/200</f>
        <v>3.55</v>
      </c>
      <c r="H193" s="113">
        <f>16.67*D193/200</f>
        <v>20.8375</v>
      </c>
      <c r="I193" s="112">
        <f>F193*4+G193*9+H193*4</f>
        <v>127.89999999999999</v>
      </c>
      <c r="J193" s="113">
        <f>0.07*D193/200</f>
        <v>0.0875</v>
      </c>
      <c r="K193" s="113">
        <f>0.06*D193/200</f>
        <v>0.075</v>
      </c>
      <c r="L193" s="113">
        <f>9.05*D193/200</f>
        <v>11.3125</v>
      </c>
      <c r="M193" s="113">
        <v>0.59</v>
      </c>
      <c r="N193" s="113">
        <f>0.7*D193/200</f>
        <v>0.875</v>
      </c>
      <c r="O193" s="113">
        <f>20.59*D193/200</f>
        <v>25.7375</v>
      </c>
      <c r="P193" s="113">
        <f>48.19*D193/200</f>
        <v>60.2375</v>
      </c>
      <c r="Q193" s="113">
        <f>0.2*D193/200</f>
        <v>0.25</v>
      </c>
      <c r="R193" s="113">
        <f>0.001*D193/200</f>
        <v>0.00125</v>
      </c>
      <c r="S193" s="113">
        <f>14.56*D193/200</f>
        <v>18.2</v>
      </c>
      <c r="T193" s="113">
        <f>0.74*D193/200</f>
        <v>0.925</v>
      </c>
      <c r="U193" s="114"/>
      <c r="V193" s="115"/>
      <c r="W193" s="115"/>
      <c r="X193" s="115"/>
    </row>
    <row r="194" spans="1:24" s="104" customFormat="1" ht="13.5" customHeight="1">
      <c r="A194" s="133">
        <v>259</v>
      </c>
      <c r="B194" s="167" t="s">
        <v>38</v>
      </c>
      <c r="C194" s="168"/>
      <c r="D194" s="111">
        <v>240</v>
      </c>
      <c r="E194" s="112">
        <v>52.02</v>
      </c>
      <c r="F194" s="112">
        <f>D194*14.27/200</f>
        <v>17.124</v>
      </c>
      <c r="G194" s="112">
        <f>D194*15.01/200</f>
        <v>18.012</v>
      </c>
      <c r="H194" s="112">
        <f>D194*25.51/200</f>
        <v>30.612000000000002</v>
      </c>
      <c r="I194" s="112">
        <f>F194*4+G194*9+H194*4</f>
        <v>353.052</v>
      </c>
      <c r="J194" s="112">
        <f>D194*0.22/200</f>
        <v>0.264</v>
      </c>
      <c r="K194" s="112">
        <f>D194*0.2/200</f>
        <v>0.24</v>
      </c>
      <c r="L194" s="112">
        <f>D194*31.3/200</f>
        <v>37.56</v>
      </c>
      <c r="M194" s="113">
        <v>0.07</v>
      </c>
      <c r="N194" s="109">
        <v>0.42</v>
      </c>
      <c r="O194" s="112">
        <f>D194*42.2/200</f>
        <v>50.64</v>
      </c>
      <c r="P194" s="110">
        <f>D194*218.18/200</f>
        <v>261.81600000000003</v>
      </c>
      <c r="Q194" s="110">
        <v>4.2</v>
      </c>
      <c r="R194" s="113">
        <v>0.0017</v>
      </c>
      <c r="S194" s="112">
        <f>D194*55.87/200</f>
        <v>67.044</v>
      </c>
      <c r="T194" s="112">
        <f>D194*3.32/200</f>
        <v>3.984</v>
      </c>
      <c r="U194" s="114"/>
      <c r="V194" s="115"/>
      <c r="W194" s="115"/>
      <c r="X194" s="115"/>
    </row>
    <row r="195" spans="1:24" s="104" customFormat="1" ht="9.75">
      <c r="A195" s="140">
        <v>345</v>
      </c>
      <c r="B195" s="192" t="s">
        <v>37</v>
      </c>
      <c r="C195" s="192"/>
      <c r="D195" s="148">
        <v>200</v>
      </c>
      <c r="E195" s="142">
        <v>4.9</v>
      </c>
      <c r="F195" s="142">
        <v>0.06</v>
      </c>
      <c r="G195" s="142">
        <v>0.02</v>
      </c>
      <c r="H195" s="142">
        <v>20.73</v>
      </c>
      <c r="I195" s="142">
        <v>83.34</v>
      </c>
      <c r="J195" s="142">
        <v>0</v>
      </c>
      <c r="K195" s="142">
        <v>0</v>
      </c>
      <c r="L195" s="142">
        <v>2.5</v>
      </c>
      <c r="M195" s="142">
        <v>0.004</v>
      </c>
      <c r="N195" s="142">
        <v>0.2</v>
      </c>
      <c r="O195" s="142">
        <v>4</v>
      </c>
      <c r="P195" s="142">
        <v>3.3</v>
      </c>
      <c r="Q195" s="142">
        <v>0.08</v>
      </c>
      <c r="R195" s="142">
        <v>0.001</v>
      </c>
      <c r="S195" s="142">
        <v>1.7</v>
      </c>
      <c r="T195" s="142">
        <v>0.15</v>
      </c>
      <c r="U195" s="114"/>
      <c r="V195" s="115"/>
      <c r="W195" s="115"/>
      <c r="X195" s="115"/>
    </row>
    <row r="196" spans="1:24" s="104" customFormat="1" ht="11.25" customHeight="1">
      <c r="A196" s="72" t="s">
        <v>54</v>
      </c>
      <c r="B196" s="167" t="s">
        <v>35</v>
      </c>
      <c r="C196" s="168"/>
      <c r="D196" s="111">
        <v>40</v>
      </c>
      <c r="E196" s="112">
        <v>2.04</v>
      </c>
      <c r="F196" s="112">
        <f>2.64*D196/40</f>
        <v>2.64</v>
      </c>
      <c r="G196" s="112">
        <f>0.48*D196/40</f>
        <v>0.48</v>
      </c>
      <c r="H196" s="112">
        <f>13.68*D196/40</f>
        <v>13.680000000000001</v>
      </c>
      <c r="I196" s="110">
        <f>F196*4+G196*9+H196*4</f>
        <v>69.60000000000001</v>
      </c>
      <c r="J196" s="109">
        <f>0.08*D196/40</f>
        <v>0.08</v>
      </c>
      <c r="K196" s="112">
        <f>0.04*D196/40</f>
        <v>0.04</v>
      </c>
      <c r="L196" s="111">
        <v>0</v>
      </c>
      <c r="M196" s="111">
        <v>0</v>
      </c>
      <c r="N196" s="112">
        <f>2.4*D196/40</f>
        <v>2.4</v>
      </c>
      <c r="O196" s="112">
        <f>14*D196/40</f>
        <v>14</v>
      </c>
      <c r="P196" s="112">
        <f>63.2*D196/40</f>
        <v>63.2</v>
      </c>
      <c r="Q196" s="112">
        <f>1.2*D196/40</f>
        <v>1.2</v>
      </c>
      <c r="R196" s="113">
        <f>0.001*D196/40</f>
        <v>0.001</v>
      </c>
      <c r="S196" s="112">
        <f>9.4*D196/40</f>
        <v>9.4</v>
      </c>
      <c r="T196" s="109">
        <f>0.78*D196/40</f>
        <v>0.78</v>
      </c>
      <c r="U196" s="30"/>
      <c r="V196" s="31"/>
      <c r="W196" s="31"/>
      <c r="X196" s="31"/>
    </row>
    <row r="197" spans="1:24" ht="9.75">
      <c r="A197" s="156" t="s">
        <v>54</v>
      </c>
      <c r="B197" s="174" t="s">
        <v>85</v>
      </c>
      <c r="C197" s="175"/>
      <c r="D197" s="156">
        <v>40</v>
      </c>
      <c r="E197" s="157">
        <v>7.63</v>
      </c>
      <c r="F197" s="157">
        <v>0.65</v>
      </c>
      <c r="G197" s="158">
        <v>3.8</v>
      </c>
      <c r="H197" s="159">
        <v>17.6</v>
      </c>
      <c r="I197" s="157">
        <v>38</v>
      </c>
      <c r="J197" s="157">
        <v>0.026</v>
      </c>
      <c r="K197" s="157">
        <v>0.03</v>
      </c>
      <c r="L197" s="157">
        <v>0.13</v>
      </c>
      <c r="M197" s="157">
        <v>11.96</v>
      </c>
      <c r="N197" s="158">
        <v>0.39</v>
      </c>
      <c r="O197" s="157">
        <v>24.18</v>
      </c>
      <c r="P197" s="157">
        <v>49.4</v>
      </c>
      <c r="Q197" s="160">
        <v>0.2</v>
      </c>
      <c r="R197" s="157">
        <v>0.002</v>
      </c>
      <c r="S197" s="157">
        <v>18.72</v>
      </c>
      <c r="T197" s="157">
        <v>0.182</v>
      </c>
      <c r="U197"/>
      <c r="V197"/>
      <c r="W197"/>
      <c r="X197"/>
    </row>
    <row r="198" spans="1:24" s="104" customFormat="1" ht="11.25" customHeight="1">
      <c r="A198" s="117" t="s">
        <v>54</v>
      </c>
      <c r="B198" s="167" t="s">
        <v>40</v>
      </c>
      <c r="C198" s="168"/>
      <c r="D198" s="111">
        <v>40</v>
      </c>
      <c r="E198" s="112">
        <v>3.1</v>
      </c>
      <c r="F198" s="112">
        <f>1.52*D198/30</f>
        <v>2.0266666666666664</v>
      </c>
      <c r="G198" s="113">
        <f>0.16*D198/30</f>
        <v>0.21333333333333335</v>
      </c>
      <c r="H198" s="113">
        <f>9.84*D198/30</f>
        <v>13.120000000000001</v>
      </c>
      <c r="I198" s="113">
        <f>F198*4+G198*9+H198*4</f>
        <v>62.50666666666667</v>
      </c>
      <c r="J198" s="113">
        <f>0.02*D198/30</f>
        <v>0.02666666666666667</v>
      </c>
      <c r="K198" s="113">
        <f>0.01*D198/30</f>
        <v>0.013333333333333334</v>
      </c>
      <c r="L198" s="113">
        <f>0.44*D198/30</f>
        <v>0.5866666666666667</v>
      </c>
      <c r="M198" s="113">
        <v>0</v>
      </c>
      <c r="N198" s="113">
        <f>0.7*D198/30</f>
        <v>0.9333333333333333</v>
      </c>
      <c r="O198" s="113">
        <f>4*D198/30</f>
        <v>5.333333333333333</v>
      </c>
      <c r="P198" s="113">
        <f>13*D198/30</f>
        <v>17.333333333333332</v>
      </c>
      <c r="Q198" s="113">
        <f>0.008*D198/30</f>
        <v>0.010666666666666666</v>
      </c>
      <c r="R198" s="113">
        <f>0.001*D198/30</f>
        <v>0.0013333333333333333</v>
      </c>
      <c r="S198" s="113">
        <v>0</v>
      </c>
      <c r="T198" s="113">
        <f>0.22*D198/30</f>
        <v>0.29333333333333333</v>
      </c>
      <c r="U198" s="114"/>
      <c r="V198" s="115"/>
      <c r="W198" s="115"/>
      <c r="X198" s="115"/>
    </row>
    <row r="199" spans="1:24" s="104" customFormat="1" ht="11.25" customHeight="1">
      <c r="A199" s="61" t="s">
        <v>28</v>
      </c>
      <c r="B199" s="62"/>
      <c r="C199" s="62"/>
      <c r="D199" s="65">
        <f aca="true" t="shared" si="51" ref="D199:T199">SUM(D192:D198)</f>
        <v>910</v>
      </c>
      <c r="E199" s="118">
        <f t="shared" si="51"/>
        <v>90</v>
      </c>
      <c r="F199" s="39">
        <f t="shared" si="51"/>
        <v>27.150666666666666</v>
      </c>
      <c r="G199" s="38">
        <f t="shared" si="51"/>
        <v>28.25866666666667</v>
      </c>
      <c r="H199" s="38">
        <f t="shared" si="51"/>
        <v>125.91283333333334</v>
      </c>
      <c r="I199" s="38">
        <f t="shared" si="51"/>
        <v>797.3820000000001</v>
      </c>
      <c r="J199" s="38">
        <f t="shared" si="51"/>
        <v>0.5841666666666666</v>
      </c>
      <c r="K199" s="38">
        <f t="shared" si="51"/>
        <v>0.5149999999999999</v>
      </c>
      <c r="L199" s="38">
        <f t="shared" si="51"/>
        <v>77.9225</v>
      </c>
      <c r="M199" s="38">
        <f t="shared" si="51"/>
        <v>12.742333333333335</v>
      </c>
      <c r="N199" s="38">
        <f t="shared" si="51"/>
        <v>5.718333333333333</v>
      </c>
      <c r="O199" s="38">
        <f t="shared" si="51"/>
        <v>170.89083333333335</v>
      </c>
      <c r="P199" s="38">
        <f t="shared" si="51"/>
        <v>486.78683333333333</v>
      </c>
      <c r="Q199" s="38">
        <f t="shared" si="51"/>
        <v>6.274</v>
      </c>
      <c r="R199" s="38">
        <f t="shared" si="51"/>
        <v>0.00995</v>
      </c>
      <c r="S199" s="38">
        <f t="shared" si="51"/>
        <v>132.56400000000002</v>
      </c>
      <c r="T199" s="38">
        <f t="shared" si="51"/>
        <v>7.314333333333334</v>
      </c>
      <c r="U199" s="38"/>
      <c r="V199" s="106"/>
      <c r="W199" s="106"/>
      <c r="X199" s="106"/>
    </row>
    <row r="200" spans="1:24" s="104" customFormat="1" ht="11.25" customHeight="1">
      <c r="A200" s="176" t="s">
        <v>50</v>
      </c>
      <c r="B200" s="177"/>
      <c r="C200" s="177"/>
      <c r="D200" s="178"/>
      <c r="E200" s="126"/>
      <c r="F200" s="119">
        <f aca="true" t="shared" si="52" ref="F200:T200">F199/F207</f>
        <v>0.3016740740740741</v>
      </c>
      <c r="G200" s="44">
        <f t="shared" si="52"/>
        <v>0.3071594202898551</v>
      </c>
      <c r="H200" s="44">
        <f t="shared" si="52"/>
        <v>0.32875413402959097</v>
      </c>
      <c r="I200" s="44">
        <f t="shared" si="52"/>
        <v>0.29315514705882356</v>
      </c>
      <c r="J200" s="44">
        <f t="shared" si="52"/>
        <v>0.4172619047619047</v>
      </c>
      <c r="K200" s="44">
        <f t="shared" si="52"/>
        <v>0.3218749999999999</v>
      </c>
      <c r="L200" s="44">
        <f t="shared" si="52"/>
        <v>1.1131785714285714</v>
      </c>
      <c r="M200" s="44">
        <f t="shared" si="52"/>
        <v>14.158148148148149</v>
      </c>
      <c r="N200" s="44">
        <f t="shared" si="52"/>
        <v>0.4765277777777777</v>
      </c>
      <c r="O200" s="44">
        <f t="shared" si="52"/>
        <v>0.14240902777777778</v>
      </c>
      <c r="P200" s="44">
        <f t="shared" si="52"/>
        <v>0.40565569444444444</v>
      </c>
      <c r="Q200" s="44">
        <f t="shared" si="52"/>
        <v>0.4481428571428571</v>
      </c>
      <c r="R200" s="44">
        <f t="shared" si="52"/>
        <v>0.0995</v>
      </c>
      <c r="S200" s="44">
        <f t="shared" si="52"/>
        <v>0.44188000000000005</v>
      </c>
      <c r="T200" s="44">
        <f t="shared" si="52"/>
        <v>0.40635185185185185</v>
      </c>
      <c r="U200" s="108"/>
      <c r="V200" s="106"/>
      <c r="W200" s="106"/>
      <c r="X200" s="106"/>
    </row>
    <row r="201" spans="1:24" s="104" customFormat="1" ht="11.25" customHeight="1">
      <c r="A201" s="206" t="s">
        <v>29</v>
      </c>
      <c r="B201" s="207"/>
      <c r="C201" s="207"/>
      <c r="D201" s="207"/>
      <c r="E201" s="207"/>
      <c r="F201" s="207"/>
      <c r="G201" s="207"/>
      <c r="H201" s="207"/>
      <c r="I201" s="207"/>
      <c r="J201" s="207"/>
      <c r="K201" s="207"/>
      <c r="L201" s="207"/>
      <c r="M201" s="207"/>
      <c r="N201" s="207"/>
      <c r="O201" s="207"/>
      <c r="P201" s="207"/>
      <c r="Q201" s="207"/>
      <c r="R201" s="207"/>
      <c r="S201" s="207"/>
      <c r="T201" s="208"/>
      <c r="U201" s="11"/>
      <c r="V201" s="24"/>
      <c r="W201" s="24"/>
      <c r="X201" s="24"/>
    </row>
    <row r="202" spans="1:20" s="100" customFormat="1" ht="11.25" customHeight="1">
      <c r="A202" s="149"/>
      <c r="B202" s="187"/>
      <c r="C202" s="187"/>
      <c r="D202" s="124"/>
      <c r="E202" s="101"/>
      <c r="F202" s="101"/>
      <c r="G202" s="101"/>
      <c r="H202" s="101"/>
      <c r="I202" s="101"/>
      <c r="J202" s="101"/>
      <c r="K202" s="101"/>
      <c r="L202" s="152"/>
      <c r="M202" s="101"/>
      <c r="N202" s="151"/>
      <c r="O202" s="152"/>
      <c r="P202" s="101"/>
      <c r="Q202" s="152"/>
      <c r="R202" s="124"/>
      <c r="S202" s="101"/>
      <c r="T202" s="101"/>
    </row>
    <row r="203" spans="1:24" s="104" customFormat="1" ht="12.75" customHeight="1">
      <c r="A203" s="133"/>
      <c r="B203" s="166"/>
      <c r="C203" s="166"/>
      <c r="D203" s="111"/>
      <c r="E203" s="112"/>
      <c r="F203" s="112"/>
      <c r="G203" s="112"/>
      <c r="H203" s="112"/>
      <c r="I203" s="112"/>
      <c r="J203" s="112"/>
      <c r="K203" s="112"/>
      <c r="L203" s="112"/>
      <c r="M203" s="109"/>
      <c r="N203" s="112"/>
      <c r="O203" s="112"/>
      <c r="P203" s="112"/>
      <c r="Q203" s="112"/>
      <c r="R203" s="113"/>
      <c r="S203" s="112"/>
      <c r="T203" s="112"/>
      <c r="U203" s="114"/>
      <c r="V203" s="115"/>
      <c r="W203" s="115"/>
      <c r="X203" s="115"/>
    </row>
    <row r="204" spans="1:24" s="1" customFormat="1" ht="11.25" customHeight="1">
      <c r="A204" s="61" t="s">
        <v>30</v>
      </c>
      <c r="B204" s="62"/>
      <c r="C204" s="62"/>
      <c r="D204" s="65"/>
      <c r="E204" s="123">
        <f>SUM(E202:E203)</f>
        <v>0</v>
      </c>
      <c r="F204" s="39">
        <f>SUM(F202:F203)</f>
        <v>0</v>
      </c>
      <c r="G204" s="38">
        <f>SUM(G202:G203)</f>
        <v>0</v>
      </c>
      <c r="H204" s="38">
        <f>SUM(H202:H203)</f>
        <v>0</v>
      </c>
      <c r="I204" s="38">
        <f>SUM(I202:I203)</f>
        <v>0</v>
      </c>
      <c r="J204" s="39">
        <f aca="true" t="shared" si="53" ref="J204:T204">SUM(J202:J203)</f>
        <v>0</v>
      </c>
      <c r="K204" s="39">
        <f t="shared" si="53"/>
        <v>0</v>
      </c>
      <c r="L204" s="38">
        <f t="shared" si="53"/>
        <v>0</v>
      </c>
      <c r="M204" s="38">
        <f t="shared" si="53"/>
        <v>0</v>
      </c>
      <c r="N204" s="38">
        <f t="shared" si="53"/>
        <v>0</v>
      </c>
      <c r="O204" s="38">
        <f t="shared" si="53"/>
        <v>0</v>
      </c>
      <c r="P204" s="38">
        <f t="shared" si="53"/>
        <v>0</v>
      </c>
      <c r="Q204" s="38">
        <f t="shared" si="53"/>
        <v>0</v>
      </c>
      <c r="R204" s="40">
        <f t="shared" si="53"/>
        <v>0</v>
      </c>
      <c r="S204" s="38">
        <f t="shared" si="53"/>
        <v>0</v>
      </c>
      <c r="T204" s="39">
        <f t="shared" si="53"/>
        <v>0</v>
      </c>
      <c r="U204" s="38"/>
      <c r="V204" s="106"/>
      <c r="W204" s="106"/>
      <c r="X204" s="106"/>
    </row>
    <row r="205" spans="1:24" s="1" customFormat="1" ht="11.25" customHeight="1">
      <c r="A205" s="176" t="s">
        <v>50</v>
      </c>
      <c r="B205" s="177"/>
      <c r="C205" s="177"/>
      <c r="D205" s="178"/>
      <c r="E205" s="127"/>
      <c r="F205" s="71">
        <f>F204/F207</f>
        <v>0</v>
      </c>
      <c r="G205" s="44">
        <f aca="true" t="shared" si="54" ref="G205:T205">G204/G207</f>
        <v>0</v>
      </c>
      <c r="H205" s="44">
        <f t="shared" si="54"/>
        <v>0</v>
      </c>
      <c r="I205" s="44">
        <f t="shared" si="54"/>
        <v>0</v>
      </c>
      <c r="J205" s="44">
        <f t="shared" si="54"/>
        <v>0</v>
      </c>
      <c r="K205" s="44">
        <f t="shared" si="54"/>
        <v>0</v>
      </c>
      <c r="L205" s="44">
        <f t="shared" si="54"/>
        <v>0</v>
      </c>
      <c r="M205" s="44">
        <f t="shared" si="54"/>
        <v>0</v>
      </c>
      <c r="N205" s="44">
        <f t="shared" si="54"/>
        <v>0</v>
      </c>
      <c r="O205" s="44">
        <f t="shared" si="54"/>
        <v>0</v>
      </c>
      <c r="P205" s="44">
        <f t="shared" si="54"/>
        <v>0</v>
      </c>
      <c r="Q205" s="44">
        <f t="shared" si="54"/>
        <v>0</v>
      </c>
      <c r="R205" s="44">
        <f t="shared" si="54"/>
        <v>0</v>
      </c>
      <c r="S205" s="44">
        <f t="shared" si="54"/>
        <v>0</v>
      </c>
      <c r="T205" s="44">
        <f t="shared" si="54"/>
        <v>0</v>
      </c>
      <c r="U205" s="108"/>
      <c r="V205" s="106"/>
      <c r="W205" s="106"/>
      <c r="X205" s="106"/>
    </row>
    <row r="206" spans="1:24" s="1" customFormat="1" ht="11.25" customHeight="1">
      <c r="A206" s="61" t="s">
        <v>49</v>
      </c>
      <c r="B206" s="62"/>
      <c r="C206" s="62"/>
      <c r="D206" s="89">
        <f>D199+D188</f>
        <v>1510</v>
      </c>
      <c r="E206" s="136">
        <f>E199+E188</f>
        <v>170</v>
      </c>
      <c r="F206" s="39">
        <f aca="true" t="shared" si="55" ref="F206:T206">SUM(F188,F199,F204)</f>
        <v>40.410666666666664</v>
      </c>
      <c r="G206" s="38">
        <f t="shared" si="55"/>
        <v>51.712</v>
      </c>
      <c r="H206" s="38">
        <f t="shared" si="55"/>
        <v>212.05616666666668</v>
      </c>
      <c r="I206" s="38">
        <f t="shared" si="55"/>
        <v>1406.1353333333334</v>
      </c>
      <c r="J206" s="39">
        <f t="shared" si="55"/>
        <v>0.8358333333333333</v>
      </c>
      <c r="K206" s="39">
        <f t="shared" si="55"/>
        <v>0.6423333333333332</v>
      </c>
      <c r="L206" s="38">
        <f t="shared" si="55"/>
        <v>100.59916666666666</v>
      </c>
      <c r="M206" s="39">
        <f t="shared" si="55"/>
        <v>12.813333333333334</v>
      </c>
      <c r="N206" s="39">
        <f t="shared" si="55"/>
        <v>6.926666666666666</v>
      </c>
      <c r="O206" s="38">
        <f t="shared" si="55"/>
        <v>231.8441666666667</v>
      </c>
      <c r="P206" s="38">
        <f t="shared" si="55"/>
        <v>694.5901666666667</v>
      </c>
      <c r="Q206" s="39">
        <f t="shared" si="55"/>
        <v>7.506666666666667</v>
      </c>
      <c r="R206" s="40">
        <f t="shared" si="55"/>
        <v>2.5652833333333325</v>
      </c>
      <c r="S206" s="39">
        <f t="shared" si="55"/>
        <v>194.93400000000003</v>
      </c>
      <c r="T206" s="39">
        <f t="shared" si="55"/>
        <v>12.315666666666667</v>
      </c>
      <c r="U206" s="42"/>
      <c r="V206" s="106"/>
      <c r="W206" s="106"/>
      <c r="X206" s="106"/>
    </row>
    <row r="207" spans="1:24" s="1" customFormat="1" ht="11.25" customHeight="1">
      <c r="A207" s="169" t="s">
        <v>51</v>
      </c>
      <c r="B207" s="170"/>
      <c r="C207" s="170"/>
      <c r="D207" s="171"/>
      <c r="E207" s="132"/>
      <c r="F207" s="112">
        <v>90</v>
      </c>
      <c r="G207" s="110">
        <v>92</v>
      </c>
      <c r="H207" s="110">
        <v>383</v>
      </c>
      <c r="I207" s="110">
        <v>2720</v>
      </c>
      <c r="J207" s="112">
        <v>1.4</v>
      </c>
      <c r="K207" s="112">
        <v>1.6</v>
      </c>
      <c r="L207" s="111">
        <v>70</v>
      </c>
      <c r="M207" s="112">
        <v>0.9</v>
      </c>
      <c r="N207" s="111">
        <v>12</v>
      </c>
      <c r="O207" s="111">
        <v>1200</v>
      </c>
      <c r="P207" s="111">
        <v>1200</v>
      </c>
      <c r="Q207" s="111">
        <v>14</v>
      </c>
      <c r="R207" s="110">
        <v>0.1</v>
      </c>
      <c r="S207" s="111">
        <v>300</v>
      </c>
      <c r="T207" s="112">
        <v>18</v>
      </c>
      <c r="U207" s="114"/>
      <c r="V207" s="115"/>
      <c r="W207" s="115"/>
      <c r="X207" s="115"/>
    </row>
    <row r="208" spans="1:24" s="1" customFormat="1" ht="11.25" customHeight="1">
      <c r="A208" s="176" t="s">
        <v>50</v>
      </c>
      <c r="B208" s="177"/>
      <c r="C208" s="177"/>
      <c r="D208" s="178"/>
      <c r="E208" s="127"/>
      <c r="F208" s="71">
        <f aca="true" t="shared" si="56" ref="F208:T208">F206/F207</f>
        <v>0.44900740740740736</v>
      </c>
      <c r="G208" s="44">
        <f t="shared" si="56"/>
        <v>0.5620869565217391</v>
      </c>
      <c r="H208" s="44">
        <f t="shared" si="56"/>
        <v>0.553671453437772</v>
      </c>
      <c r="I208" s="44">
        <f t="shared" si="56"/>
        <v>0.5169615196078432</v>
      </c>
      <c r="J208" s="44">
        <f t="shared" si="56"/>
        <v>0.5970238095238095</v>
      </c>
      <c r="K208" s="44">
        <f t="shared" si="56"/>
        <v>0.40145833333333325</v>
      </c>
      <c r="L208" s="45">
        <f t="shared" si="56"/>
        <v>1.4371309523809523</v>
      </c>
      <c r="M208" s="45">
        <f t="shared" si="56"/>
        <v>14.237037037037037</v>
      </c>
      <c r="N208" s="45">
        <f t="shared" si="56"/>
        <v>0.5772222222222222</v>
      </c>
      <c r="O208" s="44">
        <f t="shared" si="56"/>
        <v>0.19320347222222226</v>
      </c>
      <c r="P208" s="44">
        <f t="shared" si="56"/>
        <v>0.578825138888889</v>
      </c>
      <c r="Q208" s="44">
        <f t="shared" si="56"/>
        <v>0.5361904761904762</v>
      </c>
      <c r="R208" s="45">
        <f t="shared" si="56"/>
        <v>25.652833333333323</v>
      </c>
      <c r="S208" s="44">
        <f t="shared" si="56"/>
        <v>0.6497800000000001</v>
      </c>
      <c r="T208" s="45">
        <f t="shared" si="56"/>
        <v>0.6842037037037038</v>
      </c>
      <c r="U208" s="46"/>
      <c r="V208" s="47"/>
      <c r="W208" s="47"/>
      <c r="X208" s="47"/>
    </row>
    <row r="209" spans="1:24" s="1" customFormat="1" ht="11.25" customHeight="1">
      <c r="A209" s="57"/>
      <c r="B209" s="54"/>
      <c r="C209" s="54"/>
      <c r="D209" s="104"/>
      <c r="E209" s="104"/>
      <c r="F209" s="105"/>
      <c r="G209" s="104"/>
      <c r="H209" s="104"/>
      <c r="I209" s="104"/>
      <c r="J209" s="104"/>
      <c r="K209" s="104"/>
      <c r="L209" s="104"/>
      <c r="M209" s="195" t="s">
        <v>53</v>
      </c>
      <c r="N209" s="195"/>
      <c r="O209" s="195"/>
      <c r="P209" s="195"/>
      <c r="Q209" s="195"/>
      <c r="R209" s="195"/>
      <c r="S209" s="195"/>
      <c r="T209" s="195"/>
      <c r="U209" s="12"/>
      <c r="V209" s="19"/>
      <c r="W209" s="19"/>
      <c r="X209" s="19"/>
    </row>
    <row r="210" spans="1:24" s="1" customFormat="1" ht="11.25" customHeight="1">
      <c r="A210" s="188"/>
      <c r="B210" s="188"/>
      <c r="C210" s="188"/>
      <c r="D210" s="188"/>
      <c r="E210" s="188"/>
      <c r="F210" s="188"/>
      <c r="G210" s="188"/>
      <c r="H210" s="188"/>
      <c r="I210" s="188"/>
      <c r="J210" s="188"/>
      <c r="K210" s="188"/>
      <c r="L210" s="188"/>
      <c r="M210" s="188"/>
      <c r="N210" s="188"/>
      <c r="O210" s="188"/>
      <c r="P210" s="188"/>
      <c r="Q210" s="188"/>
      <c r="R210" s="188"/>
      <c r="S210" s="188"/>
      <c r="T210" s="188"/>
      <c r="U210" s="13"/>
      <c r="V210" s="25"/>
      <c r="W210" s="25"/>
      <c r="X210" s="25"/>
    </row>
    <row r="211" spans="1:24" s="1" customFormat="1" ht="11.25" customHeight="1">
      <c r="A211" s="58" t="s">
        <v>42</v>
      </c>
      <c r="B211" s="54"/>
      <c r="C211" s="54"/>
      <c r="D211" s="2"/>
      <c r="E211" s="2"/>
      <c r="F211" s="105"/>
      <c r="G211" s="197" t="s">
        <v>31</v>
      </c>
      <c r="H211" s="197"/>
      <c r="I211" s="197"/>
      <c r="J211" s="104"/>
      <c r="K211" s="104"/>
      <c r="L211" s="193" t="s">
        <v>1</v>
      </c>
      <c r="M211" s="193"/>
      <c r="N211" s="189"/>
      <c r="O211" s="189"/>
      <c r="P211" s="189"/>
      <c r="Q211" s="189"/>
      <c r="R211" s="104"/>
      <c r="S211" s="104"/>
      <c r="T211" s="104"/>
      <c r="U211" s="14"/>
      <c r="V211" s="20"/>
      <c r="W211" s="20"/>
      <c r="X211" s="20"/>
    </row>
    <row r="212" spans="1:24" s="1" customFormat="1" ht="11.25" customHeight="1">
      <c r="A212" s="54"/>
      <c r="B212" s="54"/>
      <c r="C212" s="54"/>
      <c r="D212" s="186" t="s">
        <v>2</v>
      </c>
      <c r="E212" s="186"/>
      <c r="F212" s="186"/>
      <c r="G212" s="7">
        <v>2</v>
      </c>
      <c r="H212" s="104"/>
      <c r="I212" s="2"/>
      <c r="J212" s="2"/>
      <c r="K212" s="2"/>
      <c r="L212" s="186" t="s">
        <v>3</v>
      </c>
      <c r="M212" s="186"/>
      <c r="N212" s="205" t="s">
        <v>44</v>
      </c>
      <c r="O212" s="205"/>
      <c r="P212" s="205"/>
      <c r="Q212" s="205"/>
      <c r="R212" s="205"/>
      <c r="S212" s="205"/>
      <c r="T212" s="205"/>
      <c r="U212" s="15"/>
      <c r="V212" s="21"/>
      <c r="W212" s="21"/>
      <c r="X212" s="21"/>
    </row>
    <row r="213" spans="1:24" s="1" customFormat="1" ht="21.75" customHeight="1">
      <c r="A213" s="190" t="s">
        <v>4</v>
      </c>
      <c r="B213" s="198" t="s">
        <v>5</v>
      </c>
      <c r="C213" s="199"/>
      <c r="D213" s="190" t="s">
        <v>6</v>
      </c>
      <c r="E213" s="131"/>
      <c r="F213" s="183" t="s">
        <v>7</v>
      </c>
      <c r="G213" s="184"/>
      <c r="H213" s="185"/>
      <c r="I213" s="190" t="s">
        <v>8</v>
      </c>
      <c r="J213" s="183" t="s">
        <v>9</v>
      </c>
      <c r="K213" s="184"/>
      <c r="L213" s="184"/>
      <c r="M213" s="184"/>
      <c r="N213" s="185"/>
      <c r="O213" s="183" t="s">
        <v>10</v>
      </c>
      <c r="P213" s="184"/>
      <c r="Q213" s="184"/>
      <c r="R213" s="184"/>
      <c r="S213" s="184"/>
      <c r="T213" s="185"/>
      <c r="U213" s="9"/>
      <c r="V213" s="22"/>
      <c r="W213" s="22"/>
      <c r="X213" s="22"/>
    </row>
    <row r="214" spans="1:24" s="1" customFormat="1" ht="21" customHeight="1">
      <c r="A214" s="191"/>
      <c r="B214" s="200"/>
      <c r="C214" s="201"/>
      <c r="D214" s="191"/>
      <c r="E214" s="130"/>
      <c r="F214" s="82" t="s">
        <v>11</v>
      </c>
      <c r="G214" s="134" t="s">
        <v>12</v>
      </c>
      <c r="H214" s="134" t="s">
        <v>13</v>
      </c>
      <c r="I214" s="191"/>
      <c r="J214" s="134" t="s">
        <v>14</v>
      </c>
      <c r="K214" s="134" t="s">
        <v>45</v>
      </c>
      <c r="L214" s="134" t="s">
        <v>15</v>
      </c>
      <c r="M214" s="134" t="s">
        <v>16</v>
      </c>
      <c r="N214" s="134" t="s">
        <v>17</v>
      </c>
      <c r="O214" s="134" t="s">
        <v>18</v>
      </c>
      <c r="P214" s="134" t="s">
        <v>19</v>
      </c>
      <c r="Q214" s="134" t="s">
        <v>46</v>
      </c>
      <c r="R214" s="134" t="s">
        <v>47</v>
      </c>
      <c r="S214" s="134" t="s">
        <v>20</v>
      </c>
      <c r="T214" s="134" t="s">
        <v>21</v>
      </c>
      <c r="U214" s="9"/>
      <c r="V214" s="22"/>
      <c r="W214" s="22"/>
      <c r="X214" s="22"/>
    </row>
    <row r="215" spans="1:24" s="1" customFormat="1" ht="11.25" customHeight="1">
      <c r="A215" s="133">
        <v>1</v>
      </c>
      <c r="B215" s="179">
        <v>2</v>
      </c>
      <c r="C215" s="180"/>
      <c r="D215" s="37">
        <v>3</v>
      </c>
      <c r="E215" s="37"/>
      <c r="F215" s="37">
        <v>4</v>
      </c>
      <c r="G215" s="37">
        <v>5</v>
      </c>
      <c r="H215" s="37">
        <v>6</v>
      </c>
      <c r="I215" s="37">
        <v>7</v>
      </c>
      <c r="J215" s="37">
        <v>8</v>
      </c>
      <c r="K215" s="37">
        <v>9</v>
      </c>
      <c r="L215" s="37">
        <v>10</v>
      </c>
      <c r="M215" s="37">
        <v>11</v>
      </c>
      <c r="N215" s="37">
        <v>12</v>
      </c>
      <c r="O215" s="37">
        <v>13</v>
      </c>
      <c r="P215" s="37">
        <v>14</v>
      </c>
      <c r="Q215" s="37">
        <v>15</v>
      </c>
      <c r="R215" s="37">
        <v>16</v>
      </c>
      <c r="S215" s="37">
        <v>17</v>
      </c>
      <c r="T215" s="37">
        <v>18</v>
      </c>
      <c r="U215" s="10"/>
      <c r="V215" s="23"/>
      <c r="W215" s="23"/>
      <c r="X215" s="23"/>
    </row>
    <row r="216" spans="1:24" s="1" customFormat="1" ht="11.25" customHeight="1">
      <c r="A216" s="206" t="s">
        <v>25</v>
      </c>
      <c r="B216" s="207"/>
      <c r="C216" s="207"/>
      <c r="D216" s="207"/>
      <c r="E216" s="207"/>
      <c r="F216" s="207"/>
      <c r="G216" s="207"/>
      <c r="H216" s="207"/>
      <c r="I216" s="207"/>
      <c r="J216" s="207"/>
      <c r="K216" s="207"/>
      <c r="L216" s="207"/>
      <c r="M216" s="207"/>
      <c r="N216" s="207"/>
      <c r="O216" s="207"/>
      <c r="P216" s="207"/>
      <c r="Q216" s="207"/>
      <c r="R216" s="207"/>
      <c r="S216" s="207"/>
      <c r="T216" s="208"/>
      <c r="U216" s="11"/>
      <c r="V216" s="24"/>
      <c r="W216" s="24"/>
      <c r="X216" s="24"/>
    </row>
    <row r="217" spans="1:24" s="104" customFormat="1" ht="11.25" customHeight="1">
      <c r="A217" s="94">
        <v>338</v>
      </c>
      <c r="B217" s="166" t="s">
        <v>99</v>
      </c>
      <c r="C217" s="166"/>
      <c r="D217" s="111">
        <v>150</v>
      </c>
      <c r="E217" s="112">
        <v>35.3</v>
      </c>
      <c r="F217" s="112">
        <v>0.4</v>
      </c>
      <c r="G217" s="112">
        <v>0.4</v>
      </c>
      <c r="H217" s="112">
        <v>9.8</v>
      </c>
      <c r="I217" s="112">
        <f>F217*4+G217*9+H217*4</f>
        <v>44.400000000000006</v>
      </c>
      <c r="J217" s="112">
        <v>0.04</v>
      </c>
      <c r="K217" s="112">
        <v>0.02</v>
      </c>
      <c r="L217" s="111">
        <v>10</v>
      </c>
      <c r="M217" s="111">
        <v>0.02</v>
      </c>
      <c r="N217" s="112">
        <v>0.2</v>
      </c>
      <c r="O217" s="112">
        <v>16</v>
      </c>
      <c r="P217" s="112">
        <v>11</v>
      </c>
      <c r="Q217" s="111">
        <v>0.03</v>
      </c>
      <c r="R217" s="111">
        <v>0.002</v>
      </c>
      <c r="S217" s="112">
        <v>9</v>
      </c>
      <c r="T217" s="112">
        <v>2.2</v>
      </c>
      <c r="U217" s="114"/>
      <c r="V217" s="28"/>
      <c r="W217" s="28"/>
      <c r="X217" s="29"/>
    </row>
    <row r="218" spans="1:24" s="104" customFormat="1" ht="21.75" customHeight="1">
      <c r="A218" s="117">
        <v>173</v>
      </c>
      <c r="B218" s="167" t="s">
        <v>96</v>
      </c>
      <c r="C218" s="168"/>
      <c r="D218" s="111">
        <v>200</v>
      </c>
      <c r="E218" s="112">
        <v>17.3</v>
      </c>
      <c r="F218" s="112">
        <v>7.23</v>
      </c>
      <c r="G218" s="112">
        <v>9.81</v>
      </c>
      <c r="H218" s="112">
        <v>28.8</v>
      </c>
      <c r="I218" s="112">
        <v>232.41</v>
      </c>
      <c r="J218" s="112">
        <v>0.22</v>
      </c>
      <c r="K218" s="112">
        <v>0.2</v>
      </c>
      <c r="L218" s="112">
        <v>1.3</v>
      </c>
      <c r="M218" s="113">
        <v>0.08</v>
      </c>
      <c r="N218" s="112">
        <v>0</v>
      </c>
      <c r="O218" s="110">
        <v>142.58</v>
      </c>
      <c r="P218" s="110">
        <v>222.38</v>
      </c>
      <c r="Q218" s="111">
        <v>0</v>
      </c>
      <c r="R218" s="110">
        <v>0.001</v>
      </c>
      <c r="S218" s="110">
        <v>65.69</v>
      </c>
      <c r="T218" s="112">
        <v>1.53</v>
      </c>
      <c r="U218" s="114"/>
      <c r="V218" s="115"/>
      <c r="W218" s="115"/>
      <c r="X218" s="115"/>
    </row>
    <row r="219" spans="1:24" s="104" customFormat="1" ht="11.25" customHeight="1">
      <c r="A219" s="133">
        <v>382</v>
      </c>
      <c r="B219" s="167" t="s">
        <v>71</v>
      </c>
      <c r="C219" s="168"/>
      <c r="D219" s="111">
        <v>200</v>
      </c>
      <c r="E219" s="112">
        <v>14.3</v>
      </c>
      <c r="F219" s="112">
        <f>3.5*D219/200</f>
        <v>3.5</v>
      </c>
      <c r="G219" s="112">
        <f>3.7*D219/200</f>
        <v>3.7</v>
      </c>
      <c r="H219" s="112">
        <f>25.5*D219/200</f>
        <v>25.5</v>
      </c>
      <c r="I219" s="112">
        <f>F219*4+G219*9+H219*4</f>
        <v>149.3</v>
      </c>
      <c r="J219" s="112">
        <f>0.06*D219/200</f>
        <v>0.06</v>
      </c>
      <c r="K219" s="112">
        <f>0.006*D219/200</f>
        <v>0.006</v>
      </c>
      <c r="L219" s="112">
        <f>1.6*D219/200</f>
        <v>1.6</v>
      </c>
      <c r="M219" s="113">
        <f>0.04*D219/200</f>
        <v>0.04</v>
      </c>
      <c r="N219" s="112">
        <f>0.4*D219/200</f>
        <v>0.4</v>
      </c>
      <c r="O219" s="112">
        <f>102.6*D219/200</f>
        <v>102.6</v>
      </c>
      <c r="P219" s="112">
        <f>178.4*D219/200</f>
        <v>178.4</v>
      </c>
      <c r="Q219" s="112">
        <f>1*D219/200</f>
        <v>1</v>
      </c>
      <c r="R219" s="113">
        <f>0.001*D219/200</f>
        <v>0.001</v>
      </c>
      <c r="S219" s="112">
        <f>24.8*D219/200</f>
        <v>24.8</v>
      </c>
      <c r="T219" s="112">
        <f>0.48*D219/200</f>
        <v>0.48</v>
      </c>
      <c r="U219" s="114"/>
      <c r="V219" s="115"/>
      <c r="W219" s="115"/>
      <c r="X219" s="115"/>
    </row>
    <row r="220" spans="1:24" s="104" customFormat="1" ht="12.75" customHeight="1">
      <c r="A220" s="117" t="s">
        <v>54</v>
      </c>
      <c r="B220" s="167" t="s">
        <v>40</v>
      </c>
      <c r="C220" s="168"/>
      <c r="D220" s="111">
        <v>40</v>
      </c>
      <c r="E220" s="112">
        <v>3.1</v>
      </c>
      <c r="F220" s="112">
        <f>1.52*D220/30</f>
        <v>2.0266666666666664</v>
      </c>
      <c r="G220" s="113">
        <f>0.16*D220/30</f>
        <v>0.21333333333333335</v>
      </c>
      <c r="H220" s="113">
        <f>9.84*D220/30</f>
        <v>13.120000000000001</v>
      </c>
      <c r="I220" s="113">
        <f>F220*4+G220*9+H220*4</f>
        <v>62.50666666666667</v>
      </c>
      <c r="J220" s="113">
        <f>0.02*D220/30</f>
        <v>0.02666666666666667</v>
      </c>
      <c r="K220" s="113">
        <f>0.01*D220/30</f>
        <v>0.013333333333333334</v>
      </c>
      <c r="L220" s="113">
        <f>0.44*D220/30</f>
        <v>0.5866666666666667</v>
      </c>
      <c r="M220" s="113">
        <v>0</v>
      </c>
      <c r="N220" s="113">
        <f>0.7*D220/30</f>
        <v>0.9333333333333333</v>
      </c>
      <c r="O220" s="113">
        <f>4*D220/30</f>
        <v>5.333333333333333</v>
      </c>
      <c r="P220" s="113">
        <f>13*D220/30</f>
        <v>17.333333333333332</v>
      </c>
      <c r="Q220" s="113">
        <f>0.008*D220/30</f>
        <v>0.010666666666666666</v>
      </c>
      <c r="R220" s="113">
        <f>0.001*D220/30</f>
        <v>0.0013333333333333333</v>
      </c>
      <c r="S220" s="113">
        <v>0</v>
      </c>
      <c r="T220" s="113">
        <f>0.22*D220/30</f>
        <v>0.29333333333333333</v>
      </c>
      <c r="U220" s="114"/>
      <c r="V220" s="115"/>
      <c r="W220" s="115"/>
      <c r="X220" s="115"/>
    </row>
    <row r="221" spans="1:20" s="100" customFormat="1" ht="12.75" customHeight="1">
      <c r="A221" s="143" t="s">
        <v>54</v>
      </c>
      <c r="B221" s="187" t="s">
        <v>95</v>
      </c>
      <c r="C221" s="187"/>
      <c r="D221" s="124">
        <v>40</v>
      </c>
      <c r="E221" s="101">
        <v>10</v>
      </c>
      <c r="F221" s="101">
        <v>0.4</v>
      </c>
      <c r="G221" s="101">
        <v>0.4</v>
      </c>
      <c r="H221" s="101">
        <v>9.8</v>
      </c>
      <c r="I221" s="101">
        <f>F221*4+G221*9+H221*4</f>
        <v>44.400000000000006</v>
      </c>
      <c r="J221" s="101">
        <v>0.04</v>
      </c>
      <c r="K221" s="101">
        <v>0.02</v>
      </c>
      <c r="L221" s="124">
        <v>10</v>
      </c>
      <c r="M221" s="124">
        <v>0.02</v>
      </c>
      <c r="N221" s="101">
        <v>0.2</v>
      </c>
      <c r="O221" s="101">
        <v>16</v>
      </c>
      <c r="P221" s="101">
        <v>11</v>
      </c>
      <c r="Q221" s="124">
        <v>0.03</v>
      </c>
      <c r="R221" s="124">
        <v>0.002</v>
      </c>
      <c r="S221" s="101">
        <v>9</v>
      </c>
      <c r="T221" s="101">
        <v>2.2</v>
      </c>
    </row>
    <row r="222" spans="1:24" s="104" customFormat="1" ht="11.25" customHeight="1">
      <c r="A222" s="63" t="s">
        <v>26</v>
      </c>
      <c r="B222" s="64"/>
      <c r="C222" s="64"/>
      <c r="D222" s="65">
        <f>SUM(D217:D221)</f>
        <v>630</v>
      </c>
      <c r="E222" s="118">
        <f>SUM(E217:E221)</f>
        <v>79.99999999999999</v>
      </c>
      <c r="F222" s="39">
        <f>SUM(F217:F221)</f>
        <v>13.556666666666667</v>
      </c>
      <c r="G222" s="39">
        <f aca="true" t="shared" si="57" ref="G222:T222">SUM(G217:G221)</f>
        <v>14.523333333333333</v>
      </c>
      <c r="H222" s="39">
        <f t="shared" si="57"/>
        <v>87.02</v>
      </c>
      <c r="I222" s="39">
        <f t="shared" si="57"/>
        <v>533.0166666666667</v>
      </c>
      <c r="J222" s="39">
        <f t="shared" si="57"/>
        <v>0.38666666666666666</v>
      </c>
      <c r="K222" s="39">
        <f t="shared" si="57"/>
        <v>0.25933333333333336</v>
      </c>
      <c r="L222" s="39">
        <f t="shared" si="57"/>
        <v>23.486666666666665</v>
      </c>
      <c r="M222" s="39">
        <f t="shared" si="57"/>
        <v>0.16</v>
      </c>
      <c r="N222" s="39">
        <f t="shared" si="57"/>
        <v>1.7333333333333334</v>
      </c>
      <c r="O222" s="39">
        <f t="shared" si="57"/>
        <v>282.5133333333333</v>
      </c>
      <c r="P222" s="39">
        <f t="shared" si="57"/>
        <v>440.1133333333333</v>
      </c>
      <c r="Q222" s="39">
        <f t="shared" si="57"/>
        <v>1.0706666666666667</v>
      </c>
      <c r="R222" s="39">
        <f t="shared" si="57"/>
        <v>0.007333333333333333</v>
      </c>
      <c r="S222" s="39">
        <f t="shared" si="57"/>
        <v>108.49</v>
      </c>
      <c r="T222" s="39">
        <f t="shared" si="57"/>
        <v>6.703333333333334</v>
      </c>
      <c r="U222" s="38"/>
      <c r="V222" s="106"/>
      <c r="W222" s="106"/>
      <c r="X222" s="106"/>
    </row>
    <row r="223" spans="1:24" s="104" customFormat="1" ht="11.25" customHeight="1">
      <c r="A223" s="176" t="s">
        <v>50</v>
      </c>
      <c r="B223" s="177"/>
      <c r="C223" s="177"/>
      <c r="D223" s="178"/>
      <c r="E223" s="126"/>
      <c r="F223" s="119">
        <f aca="true" t="shared" si="58" ref="F223:T223">F222/F241</f>
        <v>0.15062962962962964</v>
      </c>
      <c r="G223" s="44">
        <f t="shared" si="58"/>
        <v>0.15786231884057972</v>
      </c>
      <c r="H223" s="44">
        <f t="shared" si="58"/>
        <v>0.22720626631853785</v>
      </c>
      <c r="I223" s="44">
        <f t="shared" si="58"/>
        <v>0.19596200980392156</v>
      </c>
      <c r="J223" s="44">
        <f t="shared" si="58"/>
        <v>0.2761904761904762</v>
      </c>
      <c r="K223" s="44">
        <f t="shared" si="58"/>
        <v>0.16208333333333333</v>
      </c>
      <c r="L223" s="44">
        <f t="shared" si="58"/>
        <v>0.3355238095238095</v>
      </c>
      <c r="M223" s="44">
        <f t="shared" si="58"/>
        <v>0.17777777777777778</v>
      </c>
      <c r="N223" s="44">
        <f t="shared" si="58"/>
        <v>0.14444444444444446</v>
      </c>
      <c r="O223" s="44">
        <f t="shared" si="58"/>
        <v>0.23542777777777776</v>
      </c>
      <c r="P223" s="44">
        <f t="shared" si="58"/>
        <v>0.3667611111111111</v>
      </c>
      <c r="Q223" s="44">
        <f t="shared" si="58"/>
        <v>0.07647619047619048</v>
      </c>
      <c r="R223" s="44">
        <f t="shared" si="58"/>
        <v>0.07333333333333333</v>
      </c>
      <c r="S223" s="44">
        <f t="shared" si="58"/>
        <v>0.3616333333333333</v>
      </c>
      <c r="T223" s="44">
        <f t="shared" si="58"/>
        <v>0.37240740740740746</v>
      </c>
      <c r="U223" s="108"/>
      <c r="V223" s="106"/>
      <c r="W223" s="106"/>
      <c r="X223" s="106"/>
    </row>
    <row r="224" spans="1:24" s="104" customFormat="1" ht="11.25" customHeight="1">
      <c r="A224" s="213" t="s">
        <v>27</v>
      </c>
      <c r="B224" s="214"/>
      <c r="C224" s="214"/>
      <c r="D224" s="214"/>
      <c r="E224" s="214"/>
      <c r="F224" s="214"/>
      <c r="G224" s="214"/>
      <c r="H224" s="214"/>
      <c r="I224" s="214"/>
      <c r="J224" s="214"/>
      <c r="K224" s="214"/>
      <c r="L224" s="214"/>
      <c r="M224" s="214"/>
      <c r="N224" s="214"/>
      <c r="O224" s="214"/>
      <c r="P224" s="214"/>
      <c r="Q224" s="214"/>
      <c r="R224" s="214"/>
      <c r="S224" s="214"/>
      <c r="T224" s="215"/>
      <c r="U224" s="16"/>
      <c r="V224" s="26"/>
      <c r="W224" s="26"/>
      <c r="X224" s="26"/>
    </row>
    <row r="225" spans="1:24" s="104" customFormat="1" ht="22.5" customHeight="1">
      <c r="A225" s="133">
        <v>56</v>
      </c>
      <c r="B225" s="166" t="s">
        <v>86</v>
      </c>
      <c r="C225" s="166"/>
      <c r="D225" s="111">
        <v>100</v>
      </c>
      <c r="E225" s="112">
        <v>7.5</v>
      </c>
      <c r="F225" s="112">
        <f>0.9*D225/60</f>
        <v>1.5</v>
      </c>
      <c r="G225" s="110">
        <f>3.1*D225/60</f>
        <v>5.166666666666667</v>
      </c>
      <c r="H225" s="110">
        <f>5.6*D225/60</f>
        <v>9.333333333333334</v>
      </c>
      <c r="I225" s="112">
        <f>F225*4+G225*9+H225*4</f>
        <v>89.83333333333334</v>
      </c>
      <c r="J225" s="113">
        <f>0.1*D225/60</f>
        <v>0.16666666666666666</v>
      </c>
      <c r="K225" s="113">
        <f>0.1*D225/60</f>
        <v>0.16666666666666666</v>
      </c>
      <c r="L225" s="112">
        <f>12.3*D225/60</f>
        <v>20.5</v>
      </c>
      <c r="M225" s="113">
        <f>0.02*D225/60</f>
        <v>0.03333333333333333</v>
      </c>
      <c r="N225" s="113">
        <f>0.5*D225/60</f>
        <v>0.8333333333333334</v>
      </c>
      <c r="O225" s="110">
        <f>59.9*D225/60</f>
        <v>99.83333333333333</v>
      </c>
      <c r="P225" s="110">
        <f>31.3*D225/60</f>
        <v>52.166666666666664</v>
      </c>
      <c r="Q225" s="116">
        <f>0.4228*D225/60</f>
        <v>0.7046666666666667</v>
      </c>
      <c r="R225" s="113">
        <f>0.003*D225/60</f>
        <v>0.005</v>
      </c>
      <c r="S225" s="110">
        <f>16.3*D225/60</f>
        <v>27.166666666666668</v>
      </c>
      <c r="T225" s="112">
        <f>0.7*D225/60</f>
        <v>1.1666666666666667</v>
      </c>
      <c r="U225" s="114"/>
      <c r="V225" s="115"/>
      <c r="W225" s="115"/>
      <c r="X225" s="115"/>
    </row>
    <row r="226" spans="1:24" s="104" customFormat="1" ht="22.5" customHeight="1">
      <c r="A226" s="140">
        <v>103</v>
      </c>
      <c r="B226" s="192" t="s">
        <v>74</v>
      </c>
      <c r="C226" s="192"/>
      <c r="D226" s="141">
        <v>250</v>
      </c>
      <c r="E226" s="142">
        <v>9.68</v>
      </c>
      <c r="F226" s="142">
        <v>12.37</v>
      </c>
      <c r="G226" s="142">
        <v>11.12</v>
      </c>
      <c r="H226" s="142">
        <v>31.5</v>
      </c>
      <c r="I226" s="142">
        <v>275.62</v>
      </c>
      <c r="J226" s="142">
        <v>0.25</v>
      </c>
      <c r="K226" s="142">
        <v>0.063</v>
      </c>
      <c r="L226" s="142">
        <v>8.25</v>
      </c>
      <c r="M226" s="142">
        <v>0</v>
      </c>
      <c r="N226" s="142">
        <v>0</v>
      </c>
      <c r="O226" s="142">
        <v>49.37</v>
      </c>
      <c r="P226" s="142">
        <v>93.37</v>
      </c>
      <c r="Q226" s="142">
        <v>0</v>
      </c>
      <c r="R226" s="142">
        <v>0.001</v>
      </c>
      <c r="S226" s="142">
        <v>27.25</v>
      </c>
      <c r="T226" s="142">
        <v>0.37</v>
      </c>
      <c r="U226" s="114"/>
      <c r="V226" s="115"/>
      <c r="W226" s="115"/>
      <c r="X226" s="115"/>
    </row>
    <row r="227" spans="1:24" s="104" customFormat="1" ht="13.5" customHeight="1">
      <c r="A227" s="117">
        <v>232</v>
      </c>
      <c r="B227" s="167" t="s">
        <v>101</v>
      </c>
      <c r="C227" s="168"/>
      <c r="D227" s="111">
        <v>100</v>
      </c>
      <c r="E227" s="112">
        <v>29.85</v>
      </c>
      <c r="F227" s="112">
        <v>8.36</v>
      </c>
      <c r="G227" s="112">
        <v>5.35</v>
      </c>
      <c r="H227" s="112">
        <v>10.45</v>
      </c>
      <c r="I227" s="112">
        <v>125.95</v>
      </c>
      <c r="J227" s="112">
        <v>0.07</v>
      </c>
      <c r="K227" s="112">
        <v>0.07</v>
      </c>
      <c r="L227" s="110">
        <v>0.42</v>
      </c>
      <c r="M227" s="112">
        <v>0</v>
      </c>
      <c r="N227" s="109">
        <v>0</v>
      </c>
      <c r="O227" s="112">
        <v>39.14</v>
      </c>
      <c r="P227" s="112">
        <v>124.85</v>
      </c>
      <c r="Q227" s="112">
        <v>0</v>
      </c>
      <c r="R227" s="113">
        <f>0.009*D227/80</f>
        <v>0.01125</v>
      </c>
      <c r="S227" s="112">
        <v>30</v>
      </c>
      <c r="T227" s="112">
        <v>0.74</v>
      </c>
      <c r="U227" s="11"/>
      <c r="V227" s="24"/>
      <c r="W227" s="24"/>
      <c r="X227" s="24"/>
    </row>
    <row r="228" spans="1:24" s="104" customFormat="1" ht="15" customHeight="1">
      <c r="A228" s="117">
        <v>312</v>
      </c>
      <c r="B228" s="167" t="s">
        <v>36</v>
      </c>
      <c r="C228" s="168"/>
      <c r="D228" s="111">
        <v>180</v>
      </c>
      <c r="E228" s="112">
        <v>19.11</v>
      </c>
      <c r="F228" s="112">
        <f>D228*3.29/150</f>
        <v>3.9480000000000004</v>
      </c>
      <c r="G228" s="112">
        <f>D228*7.06/150</f>
        <v>8.472</v>
      </c>
      <c r="H228" s="112">
        <f>D228*22.21/150</f>
        <v>26.652</v>
      </c>
      <c r="I228" s="112">
        <f>F228*4+G228*9+H228*4</f>
        <v>198.648</v>
      </c>
      <c r="J228" s="112">
        <f>D228*0.16/150</f>
        <v>0.192</v>
      </c>
      <c r="K228" s="112">
        <f>D228*0.13/150</f>
        <v>0.15600000000000003</v>
      </c>
      <c r="L228" s="112">
        <f>D228*0.73/150</f>
        <v>0.876</v>
      </c>
      <c r="M228" s="113">
        <f>D228*0.08/150</f>
        <v>0.096</v>
      </c>
      <c r="N228" s="109">
        <f>1.5*D228/150</f>
        <v>1.8</v>
      </c>
      <c r="O228" s="112">
        <f>D228*42.54/150</f>
        <v>51.048</v>
      </c>
      <c r="P228" s="110">
        <f>D228*97.75/150</f>
        <v>117.3</v>
      </c>
      <c r="Q228" s="113">
        <f>0.299*D228/150</f>
        <v>0.3588</v>
      </c>
      <c r="R228" s="113">
        <f>0.001*D228/150</f>
        <v>0.0012</v>
      </c>
      <c r="S228" s="112">
        <f>D228*33.06/150</f>
        <v>39.672000000000004</v>
      </c>
      <c r="T228" s="112">
        <f>D228*1.19/150</f>
        <v>1.428</v>
      </c>
      <c r="U228" s="11"/>
      <c r="V228" s="24"/>
      <c r="W228" s="24"/>
      <c r="X228" s="24"/>
    </row>
    <row r="229" spans="1:24" s="104" customFormat="1" ht="12.75" customHeight="1">
      <c r="A229" s="133">
        <v>376</v>
      </c>
      <c r="B229" s="166" t="s">
        <v>93</v>
      </c>
      <c r="C229" s="166"/>
      <c r="D229" s="111">
        <v>200</v>
      </c>
      <c r="E229" s="112">
        <v>2.2</v>
      </c>
      <c r="F229" s="112">
        <v>0.2</v>
      </c>
      <c r="G229" s="112">
        <v>0.05</v>
      </c>
      <c r="H229" s="112">
        <v>15.01</v>
      </c>
      <c r="I229" s="112">
        <v>61.29</v>
      </c>
      <c r="J229" s="112">
        <v>0</v>
      </c>
      <c r="K229" s="112">
        <v>0.01</v>
      </c>
      <c r="L229" s="112">
        <v>9</v>
      </c>
      <c r="M229" s="109">
        <v>0</v>
      </c>
      <c r="N229" s="112">
        <v>0.045</v>
      </c>
      <c r="O229" s="112">
        <v>5.25</v>
      </c>
      <c r="P229" s="112">
        <v>8.24</v>
      </c>
      <c r="Q229" s="112">
        <v>0.008</v>
      </c>
      <c r="R229" s="113">
        <v>0</v>
      </c>
      <c r="S229" s="112">
        <v>4.4</v>
      </c>
      <c r="T229" s="112">
        <v>0.87</v>
      </c>
      <c r="U229" s="114"/>
      <c r="V229" s="115"/>
      <c r="W229" s="115"/>
      <c r="X229" s="115"/>
    </row>
    <row r="230" spans="1:24" s="104" customFormat="1" ht="11.25" customHeight="1">
      <c r="A230" s="72" t="s">
        <v>54</v>
      </c>
      <c r="B230" s="167" t="s">
        <v>35</v>
      </c>
      <c r="C230" s="168"/>
      <c r="D230" s="111">
        <v>40</v>
      </c>
      <c r="E230" s="112">
        <v>2.04</v>
      </c>
      <c r="F230" s="112">
        <f>2.64*D230/40</f>
        <v>2.64</v>
      </c>
      <c r="G230" s="112">
        <f>0.48*D230/40</f>
        <v>0.48</v>
      </c>
      <c r="H230" s="112">
        <f>13.68*D230/40</f>
        <v>13.680000000000001</v>
      </c>
      <c r="I230" s="110">
        <f>F230*4+G230*9+H230*4</f>
        <v>69.60000000000001</v>
      </c>
      <c r="J230" s="109">
        <f>0.08*D230/40</f>
        <v>0.08</v>
      </c>
      <c r="K230" s="112">
        <f>0.04*D230/40</f>
        <v>0.04</v>
      </c>
      <c r="L230" s="111">
        <v>0</v>
      </c>
      <c r="M230" s="111">
        <v>0</v>
      </c>
      <c r="N230" s="112">
        <f>2.4*D230/40</f>
        <v>2.4</v>
      </c>
      <c r="O230" s="112">
        <f>14*D230/40</f>
        <v>14</v>
      </c>
      <c r="P230" s="112">
        <f>63.2*D230/40</f>
        <v>63.2</v>
      </c>
      <c r="Q230" s="112">
        <f>1.2*D230/40</f>
        <v>1.2</v>
      </c>
      <c r="R230" s="113">
        <f>0.001*D230/40</f>
        <v>0.001</v>
      </c>
      <c r="S230" s="112">
        <f>9.4*D230/40</f>
        <v>9.4</v>
      </c>
      <c r="T230" s="109">
        <f>0.78*D230/40</f>
        <v>0.78</v>
      </c>
      <c r="U230" s="30"/>
      <c r="V230" s="31"/>
      <c r="W230" s="31"/>
      <c r="X230" s="31"/>
    </row>
    <row r="231" spans="1:24" ht="9.75">
      <c r="A231" s="156" t="s">
        <v>54</v>
      </c>
      <c r="B231" s="174" t="s">
        <v>85</v>
      </c>
      <c r="C231" s="175"/>
      <c r="D231" s="156">
        <v>40</v>
      </c>
      <c r="E231" s="157">
        <v>16.52</v>
      </c>
      <c r="F231" s="157">
        <v>0.65</v>
      </c>
      <c r="G231" s="158">
        <v>3.8</v>
      </c>
      <c r="H231" s="159">
        <v>17.6</v>
      </c>
      <c r="I231" s="157">
        <v>38</v>
      </c>
      <c r="J231" s="157">
        <v>0.026</v>
      </c>
      <c r="K231" s="157">
        <v>0.03</v>
      </c>
      <c r="L231" s="157">
        <v>0.13</v>
      </c>
      <c r="M231" s="157">
        <v>11.96</v>
      </c>
      <c r="N231" s="158">
        <v>0.39</v>
      </c>
      <c r="O231" s="157">
        <v>24.18</v>
      </c>
      <c r="P231" s="157">
        <v>49.4</v>
      </c>
      <c r="Q231" s="160">
        <v>0.2</v>
      </c>
      <c r="R231" s="157">
        <v>0.002</v>
      </c>
      <c r="S231" s="157">
        <v>18.72</v>
      </c>
      <c r="T231" s="157">
        <v>0.182</v>
      </c>
      <c r="U231"/>
      <c r="V231"/>
      <c r="W231"/>
      <c r="X231"/>
    </row>
    <row r="232" spans="1:24" s="104" customFormat="1" ht="11.25" customHeight="1">
      <c r="A232" s="117" t="s">
        <v>54</v>
      </c>
      <c r="B232" s="167" t="s">
        <v>40</v>
      </c>
      <c r="C232" s="168"/>
      <c r="D232" s="111">
        <v>40</v>
      </c>
      <c r="E232" s="112">
        <v>3.1</v>
      </c>
      <c r="F232" s="112">
        <f>1.52*D232/30</f>
        <v>2.0266666666666664</v>
      </c>
      <c r="G232" s="113">
        <f>0.16*D232/30</f>
        <v>0.21333333333333335</v>
      </c>
      <c r="H232" s="113">
        <f>9.84*D232/30</f>
        <v>13.120000000000001</v>
      </c>
      <c r="I232" s="113">
        <f>F232*4+G232*9+H232*4</f>
        <v>62.50666666666667</v>
      </c>
      <c r="J232" s="113">
        <f>0.02*D232/30</f>
        <v>0.02666666666666667</v>
      </c>
      <c r="K232" s="113">
        <f>0.01*D232/30</f>
        <v>0.013333333333333334</v>
      </c>
      <c r="L232" s="113">
        <f>0.44*D232/30</f>
        <v>0.5866666666666667</v>
      </c>
      <c r="M232" s="113">
        <v>0</v>
      </c>
      <c r="N232" s="113">
        <f>0.7*D232/30</f>
        <v>0.9333333333333333</v>
      </c>
      <c r="O232" s="113">
        <f>4*D232/30</f>
        <v>5.333333333333333</v>
      </c>
      <c r="P232" s="113">
        <f>13*D232/30</f>
        <v>17.333333333333332</v>
      </c>
      <c r="Q232" s="113">
        <f>0.008*D232/30</f>
        <v>0.010666666666666666</v>
      </c>
      <c r="R232" s="113">
        <f>0.001*D232/30</f>
        <v>0.0013333333333333333</v>
      </c>
      <c r="S232" s="113">
        <v>0</v>
      </c>
      <c r="T232" s="113">
        <f>0.22*D232/30</f>
        <v>0.29333333333333333</v>
      </c>
      <c r="U232" s="114"/>
      <c r="V232" s="115"/>
      <c r="W232" s="115"/>
      <c r="X232" s="115"/>
    </row>
    <row r="233" spans="1:24" s="104" customFormat="1" ht="11.25" customHeight="1">
      <c r="A233" s="61" t="s">
        <v>28</v>
      </c>
      <c r="B233" s="62"/>
      <c r="C233" s="62"/>
      <c r="D233" s="89">
        <f aca="true" t="shared" si="59" ref="D233:T233">SUM(D225:D232)</f>
        <v>950</v>
      </c>
      <c r="E233" s="102">
        <f t="shared" si="59"/>
        <v>90</v>
      </c>
      <c r="F233" s="39">
        <f t="shared" si="59"/>
        <v>31.694666666666663</v>
      </c>
      <c r="G233" s="39">
        <f t="shared" si="59"/>
        <v>34.651999999999994</v>
      </c>
      <c r="H233" s="39">
        <f t="shared" si="59"/>
        <v>137.34533333333334</v>
      </c>
      <c r="I233" s="39">
        <f t="shared" si="59"/>
        <v>921.448</v>
      </c>
      <c r="J233" s="39">
        <f t="shared" si="59"/>
        <v>0.8113333333333332</v>
      </c>
      <c r="K233" s="39">
        <f t="shared" si="59"/>
        <v>0.549</v>
      </c>
      <c r="L233" s="39">
        <f t="shared" si="59"/>
        <v>39.762666666666675</v>
      </c>
      <c r="M233" s="39">
        <f t="shared" si="59"/>
        <v>12.089333333333334</v>
      </c>
      <c r="N233" s="39">
        <f t="shared" si="59"/>
        <v>6.401666666666666</v>
      </c>
      <c r="O233" s="39">
        <f t="shared" si="59"/>
        <v>288.1546666666666</v>
      </c>
      <c r="P233" s="39">
        <f t="shared" si="59"/>
        <v>525.86</v>
      </c>
      <c r="Q233" s="39">
        <f t="shared" si="59"/>
        <v>2.482133333333334</v>
      </c>
      <c r="R233" s="39">
        <f t="shared" si="59"/>
        <v>0.022783333333333336</v>
      </c>
      <c r="S233" s="39">
        <f t="shared" si="59"/>
        <v>156.6086666666667</v>
      </c>
      <c r="T233" s="39">
        <f t="shared" si="59"/>
        <v>5.83</v>
      </c>
      <c r="U233" s="38"/>
      <c r="V233" s="106"/>
      <c r="W233" s="106"/>
      <c r="X233" s="106"/>
    </row>
    <row r="234" spans="1:24" s="104" customFormat="1" ht="11.25" customHeight="1">
      <c r="A234" s="176" t="s">
        <v>50</v>
      </c>
      <c r="B234" s="177"/>
      <c r="C234" s="177"/>
      <c r="D234" s="178"/>
      <c r="E234" s="126"/>
      <c r="F234" s="119">
        <f aca="true" t="shared" si="60" ref="F234:T234">F233/F241</f>
        <v>0.3521629629629629</v>
      </c>
      <c r="G234" s="44">
        <f t="shared" si="60"/>
        <v>0.3766521739130434</v>
      </c>
      <c r="H234" s="44">
        <f t="shared" si="60"/>
        <v>0.3586040034812881</v>
      </c>
      <c r="I234" s="44">
        <f t="shared" si="60"/>
        <v>0.3387676470588235</v>
      </c>
      <c r="J234" s="44">
        <f t="shared" si="60"/>
        <v>0.5795238095238094</v>
      </c>
      <c r="K234" s="44">
        <f t="shared" si="60"/>
        <v>0.343125</v>
      </c>
      <c r="L234" s="44">
        <f t="shared" si="60"/>
        <v>0.5680380952380953</v>
      </c>
      <c r="M234" s="44">
        <f t="shared" si="60"/>
        <v>13.432592592592593</v>
      </c>
      <c r="N234" s="44">
        <f t="shared" si="60"/>
        <v>0.5334722222222222</v>
      </c>
      <c r="O234" s="44">
        <f t="shared" si="60"/>
        <v>0.24012888888888886</v>
      </c>
      <c r="P234" s="44">
        <f t="shared" si="60"/>
        <v>0.4382166666666667</v>
      </c>
      <c r="Q234" s="44">
        <f t="shared" si="60"/>
        <v>0.17729523809523814</v>
      </c>
      <c r="R234" s="44">
        <f t="shared" si="60"/>
        <v>0.22783333333333336</v>
      </c>
      <c r="S234" s="44">
        <f t="shared" si="60"/>
        <v>0.522028888888889</v>
      </c>
      <c r="T234" s="44">
        <f t="shared" si="60"/>
        <v>0.3238888888888889</v>
      </c>
      <c r="U234" s="108"/>
      <c r="V234" s="106"/>
      <c r="W234" s="106"/>
      <c r="X234" s="106"/>
    </row>
    <row r="235" spans="1:24" s="104" customFormat="1" ht="11.25" customHeight="1">
      <c r="A235" s="206" t="s">
        <v>29</v>
      </c>
      <c r="B235" s="207"/>
      <c r="C235" s="207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8"/>
      <c r="U235" s="11"/>
      <c r="V235" s="24"/>
      <c r="W235" s="24"/>
      <c r="X235" s="24"/>
    </row>
    <row r="236" spans="1:20" s="100" customFormat="1" ht="11.25" customHeight="1">
      <c r="A236" s="149"/>
      <c r="B236" s="187"/>
      <c r="C236" s="187"/>
      <c r="D236" s="124"/>
      <c r="E236" s="101"/>
      <c r="F236" s="101"/>
      <c r="G236" s="101"/>
      <c r="H236" s="101"/>
      <c r="I236" s="101"/>
      <c r="J236" s="101"/>
      <c r="K236" s="101"/>
      <c r="L236" s="152"/>
      <c r="M236" s="101"/>
      <c r="N236" s="151"/>
      <c r="O236" s="152"/>
      <c r="P236" s="101"/>
      <c r="Q236" s="152"/>
      <c r="R236" s="124"/>
      <c r="S236" s="101"/>
      <c r="T236" s="101"/>
    </row>
    <row r="237" spans="1:20" s="100" customFormat="1" ht="12" customHeight="1">
      <c r="A237" s="153"/>
      <c r="B237" s="212"/>
      <c r="C237" s="212"/>
      <c r="D237" s="154"/>
      <c r="E237" s="155"/>
      <c r="F237" s="142"/>
      <c r="G237" s="142"/>
      <c r="H237" s="142"/>
      <c r="I237" s="142"/>
      <c r="J237" s="142"/>
      <c r="K237" s="142"/>
      <c r="L237" s="142"/>
      <c r="M237" s="142"/>
      <c r="N237" s="142"/>
      <c r="O237" s="142"/>
      <c r="P237" s="142"/>
      <c r="Q237" s="142"/>
      <c r="R237" s="142"/>
      <c r="S237" s="142"/>
      <c r="T237" s="142"/>
    </row>
    <row r="238" spans="1:24" s="1" customFormat="1" ht="11.25" customHeight="1">
      <c r="A238" s="61" t="s">
        <v>30</v>
      </c>
      <c r="B238" s="62"/>
      <c r="C238" s="62"/>
      <c r="D238" s="65">
        <f aca="true" t="shared" si="61" ref="D238:T238">SUM(D236:D237)</f>
        <v>0</v>
      </c>
      <c r="E238" s="118">
        <f t="shared" si="61"/>
        <v>0</v>
      </c>
      <c r="F238" s="39">
        <f t="shared" si="61"/>
        <v>0</v>
      </c>
      <c r="G238" s="38">
        <f t="shared" si="61"/>
        <v>0</v>
      </c>
      <c r="H238" s="38">
        <f t="shared" si="61"/>
        <v>0</v>
      </c>
      <c r="I238" s="38">
        <f t="shared" si="61"/>
        <v>0</v>
      </c>
      <c r="J238" s="38">
        <f t="shared" si="61"/>
        <v>0</v>
      </c>
      <c r="K238" s="38">
        <f t="shared" si="61"/>
        <v>0</v>
      </c>
      <c r="L238" s="38">
        <f t="shared" si="61"/>
        <v>0</v>
      </c>
      <c r="M238" s="38">
        <f t="shared" si="61"/>
        <v>0</v>
      </c>
      <c r="N238" s="38">
        <f t="shared" si="61"/>
        <v>0</v>
      </c>
      <c r="O238" s="38">
        <f t="shared" si="61"/>
        <v>0</v>
      </c>
      <c r="P238" s="38">
        <f t="shared" si="61"/>
        <v>0</v>
      </c>
      <c r="Q238" s="38">
        <f t="shared" si="61"/>
        <v>0</v>
      </c>
      <c r="R238" s="40">
        <f t="shared" si="61"/>
        <v>0</v>
      </c>
      <c r="S238" s="38">
        <f t="shared" si="61"/>
        <v>0</v>
      </c>
      <c r="T238" s="38">
        <f t="shared" si="61"/>
        <v>0</v>
      </c>
      <c r="U238" s="38"/>
      <c r="V238" s="106"/>
      <c r="W238" s="106"/>
      <c r="X238" s="106"/>
    </row>
    <row r="239" spans="1:24" s="1" customFormat="1" ht="11.25" customHeight="1">
      <c r="A239" s="176" t="s">
        <v>50</v>
      </c>
      <c r="B239" s="177"/>
      <c r="C239" s="177"/>
      <c r="D239" s="178"/>
      <c r="E239" s="127"/>
      <c r="F239" s="71">
        <f>F238/F241</f>
        <v>0</v>
      </c>
      <c r="G239" s="44">
        <f aca="true" t="shared" si="62" ref="G239:T239">G238/G241</f>
        <v>0</v>
      </c>
      <c r="H239" s="44">
        <f t="shared" si="62"/>
        <v>0</v>
      </c>
      <c r="I239" s="44">
        <f t="shared" si="62"/>
        <v>0</v>
      </c>
      <c r="J239" s="44">
        <f t="shared" si="62"/>
        <v>0</v>
      </c>
      <c r="K239" s="44">
        <f t="shared" si="62"/>
        <v>0</v>
      </c>
      <c r="L239" s="44">
        <f t="shared" si="62"/>
        <v>0</v>
      </c>
      <c r="M239" s="44">
        <f t="shared" si="62"/>
        <v>0</v>
      </c>
      <c r="N239" s="44">
        <f t="shared" si="62"/>
        <v>0</v>
      </c>
      <c r="O239" s="44">
        <f t="shared" si="62"/>
        <v>0</v>
      </c>
      <c r="P239" s="44">
        <f t="shared" si="62"/>
        <v>0</v>
      </c>
      <c r="Q239" s="44">
        <f t="shared" si="62"/>
        <v>0</v>
      </c>
      <c r="R239" s="44">
        <f t="shared" si="62"/>
        <v>0</v>
      </c>
      <c r="S239" s="44">
        <f t="shared" si="62"/>
        <v>0</v>
      </c>
      <c r="T239" s="44">
        <f t="shared" si="62"/>
        <v>0</v>
      </c>
      <c r="U239" s="108"/>
      <c r="V239" s="106"/>
      <c r="W239" s="106"/>
      <c r="X239" s="106"/>
    </row>
    <row r="240" spans="1:24" s="1" customFormat="1" ht="11.25" customHeight="1">
      <c r="A240" s="61" t="s">
        <v>49</v>
      </c>
      <c r="B240" s="62"/>
      <c r="C240" s="62"/>
      <c r="D240" s="89">
        <f>D233+D222</f>
        <v>1580</v>
      </c>
      <c r="E240" s="136">
        <f>E233+E222</f>
        <v>170</v>
      </c>
      <c r="F240" s="39">
        <f aca="true" t="shared" si="63" ref="F240:T240">SUM(F222,F233,F238)</f>
        <v>45.25133333333333</v>
      </c>
      <c r="G240" s="38">
        <f t="shared" si="63"/>
        <v>49.17533333333333</v>
      </c>
      <c r="H240" s="38">
        <f t="shared" si="63"/>
        <v>224.36533333333335</v>
      </c>
      <c r="I240" s="38">
        <f t="shared" si="63"/>
        <v>1454.4646666666667</v>
      </c>
      <c r="J240" s="39">
        <f t="shared" si="63"/>
        <v>1.198</v>
      </c>
      <c r="K240" s="39">
        <f t="shared" si="63"/>
        <v>0.8083333333333333</v>
      </c>
      <c r="L240" s="38">
        <f t="shared" si="63"/>
        <v>63.24933333333334</v>
      </c>
      <c r="M240" s="39">
        <f t="shared" si="63"/>
        <v>12.249333333333334</v>
      </c>
      <c r="N240" s="39">
        <f t="shared" si="63"/>
        <v>8.135</v>
      </c>
      <c r="O240" s="38">
        <f t="shared" si="63"/>
        <v>570.6679999999999</v>
      </c>
      <c r="P240" s="38">
        <f t="shared" si="63"/>
        <v>965.9733333333334</v>
      </c>
      <c r="Q240" s="39">
        <f t="shared" si="63"/>
        <v>3.5528000000000004</v>
      </c>
      <c r="R240" s="40">
        <f t="shared" si="63"/>
        <v>0.03011666666666667</v>
      </c>
      <c r="S240" s="39">
        <f t="shared" si="63"/>
        <v>265.0986666666667</v>
      </c>
      <c r="T240" s="39">
        <f t="shared" si="63"/>
        <v>12.533333333333335</v>
      </c>
      <c r="U240" s="42"/>
      <c r="V240" s="106"/>
      <c r="W240" s="106"/>
      <c r="X240" s="106"/>
    </row>
    <row r="241" spans="1:24" s="1" customFormat="1" ht="11.25" customHeight="1">
      <c r="A241" s="169" t="s">
        <v>51</v>
      </c>
      <c r="B241" s="170"/>
      <c r="C241" s="170"/>
      <c r="D241" s="171"/>
      <c r="E241" s="132"/>
      <c r="F241" s="112">
        <v>90</v>
      </c>
      <c r="G241" s="110">
        <v>92</v>
      </c>
      <c r="H241" s="110">
        <v>383</v>
      </c>
      <c r="I241" s="110">
        <v>2720</v>
      </c>
      <c r="J241" s="112">
        <v>1.4</v>
      </c>
      <c r="K241" s="112">
        <v>1.6</v>
      </c>
      <c r="L241" s="111">
        <v>70</v>
      </c>
      <c r="M241" s="112">
        <v>0.9</v>
      </c>
      <c r="N241" s="111">
        <v>12</v>
      </c>
      <c r="O241" s="111">
        <v>1200</v>
      </c>
      <c r="P241" s="111">
        <v>1200</v>
      </c>
      <c r="Q241" s="111">
        <v>14</v>
      </c>
      <c r="R241" s="110">
        <v>0.1</v>
      </c>
      <c r="S241" s="111">
        <v>300</v>
      </c>
      <c r="T241" s="112">
        <v>18</v>
      </c>
      <c r="U241" s="114"/>
      <c r="V241" s="115"/>
      <c r="W241" s="115"/>
      <c r="X241" s="115"/>
    </row>
    <row r="242" spans="1:24" s="1" customFormat="1" ht="11.25" customHeight="1">
      <c r="A242" s="176" t="s">
        <v>50</v>
      </c>
      <c r="B242" s="177"/>
      <c r="C242" s="177"/>
      <c r="D242" s="178"/>
      <c r="E242" s="127"/>
      <c r="F242" s="71">
        <f aca="true" t="shared" si="64" ref="F242:T242">F240/F241</f>
        <v>0.5027925925925926</v>
      </c>
      <c r="G242" s="44">
        <f t="shared" si="64"/>
        <v>0.5345144927536232</v>
      </c>
      <c r="H242" s="44">
        <f t="shared" si="64"/>
        <v>0.585810269799826</v>
      </c>
      <c r="I242" s="44">
        <f t="shared" si="64"/>
        <v>0.5347296568627451</v>
      </c>
      <c r="J242" s="44">
        <f t="shared" si="64"/>
        <v>0.8557142857142858</v>
      </c>
      <c r="K242" s="44">
        <f t="shared" si="64"/>
        <v>0.5052083333333333</v>
      </c>
      <c r="L242" s="44">
        <f t="shared" si="64"/>
        <v>0.9035619047619049</v>
      </c>
      <c r="M242" s="45">
        <f t="shared" si="64"/>
        <v>13.61037037037037</v>
      </c>
      <c r="N242" s="44">
        <f t="shared" si="64"/>
        <v>0.6779166666666666</v>
      </c>
      <c r="O242" s="44">
        <f t="shared" si="64"/>
        <v>0.47555666666666657</v>
      </c>
      <c r="P242" s="44">
        <f t="shared" si="64"/>
        <v>0.8049777777777778</v>
      </c>
      <c r="Q242" s="44">
        <f t="shared" si="64"/>
        <v>0.2537714285714286</v>
      </c>
      <c r="R242" s="45">
        <f t="shared" si="64"/>
        <v>0.3011666666666667</v>
      </c>
      <c r="S242" s="44">
        <f t="shared" si="64"/>
        <v>0.8836622222222223</v>
      </c>
      <c r="T242" s="45">
        <f t="shared" si="64"/>
        <v>0.6962962962962964</v>
      </c>
      <c r="U242" s="46"/>
      <c r="V242" s="47"/>
      <c r="W242" s="47"/>
      <c r="X242" s="47"/>
    </row>
    <row r="243" spans="1:24" s="1" customFormat="1" ht="11.25" customHeight="1">
      <c r="A243" s="188"/>
      <c r="B243" s="188"/>
      <c r="C243" s="188"/>
      <c r="D243" s="188"/>
      <c r="E243" s="188"/>
      <c r="F243" s="188"/>
      <c r="G243" s="188"/>
      <c r="H243" s="188"/>
      <c r="I243" s="188"/>
      <c r="J243" s="188"/>
      <c r="K243" s="188"/>
      <c r="L243" s="188"/>
      <c r="M243" s="188"/>
      <c r="N243" s="188"/>
      <c r="O243" s="188"/>
      <c r="P243" s="188"/>
      <c r="Q243" s="188"/>
      <c r="R243" s="188"/>
      <c r="S243" s="188"/>
      <c r="T243" s="188"/>
      <c r="U243" s="13"/>
      <c r="V243" s="25"/>
      <c r="W243" s="25"/>
      <c r="X243" s="25"/>
    </row>
    <row r="244" spans="1:24" s="1" customFormat="1" ht="11.25" customHeight="1">
      <c r="A244" s="58" t="s">
        <v>43</v>
      </c>
      <c r="B244" s="54"/>
      <c r="C244" s="54"/>
      <c r="D244" s="2"/>
      <c r="E244" s="2"/>
      <c r="F244" s="105"/>
      <c r="G244" s="197" t="s">
        <v>32</v>
      </c>
      <c r="H244" s="197"/>
      <c r="I244" s="197"/>
      <c r="J244" s="104"/>
      <c r="K244" s="104"/>
      <c r="L244" s="193" t="s">
        <v>1</v>
      </c>
      <c r="M244" s="193"/>
      <c r="N244" s="189"/>
      <c r="O244" s="189"/>
      <c r="P244" s="189"/>
      <c r="Q244" s="189"/>
      <c r="R244" s="104"/>
      <c r="S244" s="104"/>
      <c r="T244" s="104"/>
      <c r="U244" s="14"/>
      <c r="V244" s="20"/>
      <c r="W244" s="20"/>
      <c r="X244" s="20"/>
    </row>
    <row r="245" spans="1:24" s="1" customFormat="1" ht="11.25" customHeight="1">
      <c r="A245" s="54"/>
      <c r="B245" s="54"/>
      <c r="C245" s="54"/>
      <c r="D245" s="186" t="s">
        <v>2</v>
      </c>
      <c r="E245" s="186"/>
      <c r="F245" s="186"/>
      <c r="G245" s="7">
        <v>2</v>
      </c>
      <c r="H245" s="104"/>
      <c r="I245" s="2"/>
      <c r="J245" s="2"/>
      <c r="K245" s="2"/>
      <c r="L245" s="186" t="s">
        <v>3</v>
      </c>
      <c r="M245" s="186"/>
      <c r="N245" s="205" t="s">
        <v>44</v>
      </c>
      <c r="O245" s="205"/>
      <c r="P245" s="205"/>
      <c r="Q245" s="205"/>
      <c r="R245" s="205"/>
      <c r="S245" s="205"/>
      <c r="T245" s="205"/>
      <c r="U245" s="15"/>
      <c r="V245" s="21"/>
      <c r="W245" s="21"/>
      <c r="X245" s="21"/>
    </row>
    <row r="246" spans="1:24" s="1" customFormat="1" ht="21.75" customHeight="1">
      <c r="A246" s="190" t="s">
        <v>4</v>
      </c>
      <c r="B246" s="198" t="s">
        <v>5</v>
      </c>
      <c r="C246" s="199"/>
      <c r="D246" s="190" t="s">
        <v>6</v>
      </c>
      <c r="E246" s="131"/>
      <c r="F246" s="183" t="s">
        <v>7</v>
      </c>
      <c r="G246" s="184"/>
      <c r="H246" s="185"/>
      <c r="I246" s="190" t="s">
        <v>8</v>
      </c>
      <c r="J246" s="183" t="s">
        <v>9</v>
      </c>
      <c r="K246" s="184"/>
      <c r="L246" s="184"/>
      <c r="M246" s="184"/>
      <c r="N246" s="185"/>
      <c r="O246" s="183" t="s">
        <v>10</v>
      </c>
      <c r="P246" s="184"/>
      <c r="Q246" s="184"/>
      <c r="R246" s="184"/>
      <c r="S246" s="184"/>
      <c r="T246" s="185"/>
      <c r="U246" s="9"/>
      <c r="V246" s="22"/>
      <c r="W246" s="22"/>
      <c r="X246" s="22"/>
    </row>
    <row r="247" spans="1:24" s="1" customFormat="1" ht="21" customHeight="1">
      <c r="A247" s="191"/>
      <c r="B247" s="200"/>
      <c r="C247" s="201"/>
      <c r="D247" s="191"/>
      <c r="E247" s="130"/>
      <c r="F247" s="82" t="s">
        <v>11</v>
      </c>
      <c r="G247" s="134" t="s">
        <v>12</v>
      </c>
      <c r="H247" s="134" t="s">
        <v>13</v>
      </c>
      <c r="I247" s="191"/>
      <c r="J247" s="134" t="s">
        <v>14</v>
      </c>
      <c r="K247" s="134" t="s">
        <v>45</v>
      </c>
      <c r="L247" s="134" t="s">
        <v>15</v>
      </c>
      <c r="M247" s="134" t="s">
        <v>16</v>
      </c>
      <c r="N247" s="134" t="s">
        <v>17</v>
      </c>
      <c r="O247" s="134" t="s">
        <v>18</v>
      </c>
      <c r="P247" s="134" t="s">
        <v>19</v>
      </c>
      <c r="Q247" s="134" t="s">
        <v>46</v>
      </c>
      <c r="R247" s="134" t="s">
        <v>47</v>
      </c>
      <c r="S247" s="134" t="s">
        <v>20</v>
      </c>
      <c r="T247" s="134" t="s">
        <v>21</v>
      </c>
      <c r="U247" s="9"/>
      <c r="V247" s="22"/>
      <c r="W247" s="22"/>
      <c r="X247" s="22"/>
    </row>
    <row r="248" spans="1:24" s="1" customFormat="1" ht="11.25" customHeight="1">
      <c r="A248" s="133">
        <v>1</v>
      </c>
      <c r="B248" s="179">
        <v>2</v>
      </c>
      <c r="C248" s="180"/>
      <c r="D248" s="37">
        <v>3</v>
      </c>
      <c r="E248" s="37"/>
      <c r="F248" s="83">
        <v>4</v>
      </c>
      <c r="G248" s="37">
        <v>5</v>
      </c>
      <c r="H248" s="37">
        <v>6</v>
      </c>
      <c r="I248" s="37">
        <v>7</v>
      </c>
      <c r="J248" s="37">
        <v>8</v>
      </c>
      <c r="K248" s="37">
        <v>9</v>
      </c>
      <c r="L248" s="37">
        <v>10</v>
      </c>
      <c r="M248" s="37">
        <v>11</v>
      </c>
      <c r="N248" s="37">
        <v>12</v>
      </c>
      <c r="O248" s="37">
        <v>13</v>
      </c>
      <c r="P248" s="37">
        <v>14</v>
      </c>
      <c r="Q248" s="37">
        <v>15</v>
      </c>
      <c r="R248" s="37">
        <v>16</v>
      </c>
      <c r="S248" s="37">
        <v>17</v>
      </c>
      <c r="T248" s="37">
        <v>18</v>
      </c>
      <c r="U248" s="10"/>
      <c r="V248" s="23"/>
      <c r="W248" s="23"/>
      <c r="X248" s="23"/>
    </row>
    <row r="249" spans="1:24" s="1" customFormat="1" ht="14.25" customHeight="1">
      <c r="A249" s="206" t="s">
        <v>22</v>
      </c>
      <c r="B249" s="207"/>
      <c r="C249" s="207"/>
      <c r="D249" s="207"/>
      <c r="E249" s="207"/>
      <c r="F249" s="207"/>
      <c r="G249" s="207"/>
      <c r="H249" s="207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8"/>
      <c r="U249" s="11"/>
      <c r="V249" s="24"/>
      <c r="W249" s="24"/>
      <c r="X249" s="24"/>
    </row>
    <row r="250" spans="1:24" s="104" customFormat="1" ht="20.25" customHeight="1">
      <c r="A250" s="67">
        <v>71</v>
      </c>
      <c r="B250" s="167" t="s">
        <v>52</v>
      </c>
      <c r="C250" s="168"/>
      <c r="D250" s="73">
        <v>40</v>
      </c>
      <c r="E250" s="73">
        <v>9.22</v>
      </c>
      <c r="F250" s="125">
        <f>0.5*D250/60</f>
        <v>0.3333333333333333</v>
      </c>
      <c r="G250" s="125">
        <f>0.03*D250/30</f>
        <v>0.04</v>
      </c>
      <c r="H250" s="125">
        <f>1.7*D250/60</f>
        <v>1.1333333333333333</v>
      </c>
      <c r="I250" s="125">
        <f>F250*4+G250*9+H250*4</f>
        <v>6.226666666666667</v>
      </c>
      <c r="J250" s="74">
        <v>0.009</v>
      </c>
      <c r="K250" s="125">
        <v>0.01</v>
      </c>
      <c r="L250" s="75">
        <v>3</v>
      </c>
      <c r="M250" s="74">
        <v>0.003</v>
      </c>
      <c r="N250" s="73">
        <v>0.03</v>
      </c>
      <c r="O250" s="125">
        <v>6.9</v>
      </c>
      <c r="P250" s="125">
        <v>12.6</v>
      </c>
      <c r="Q250" s="74">
        <v>0.064</v>
      </c>
      <c r="R250" s="74">
        <v>0.001</v>
      </c>
      <c r="S250" s="125">
        <v>4.2</v>
      </c>
      <c r="T250" s="125">
        <v>0.18</v>
      </c>
      <c r="U250" s="32"/>
      <c r="V250" s="33"/>
      <c r="W250" s="33"/>
      <c r="X250" s="33"/>
    </row>
    <row r="251" spans="1:24" s="104" customFormat="1" ht="19.5" customHeight="1">
      <c r="A251" s="133">
        <v>304</v>
      </c>
      <c r="B251" s="166" t="s">
        <v>77</v>
      </c>
      <c r="C251" s="166"/>
      <c r="D251" s="111">
        <v>180</v>
      </c>
      <c r="E251" s="112">
        <v>8.2</v>
      </c>
      <c r="F251" s="112">
        <v>4.44</v>
      </c>
      <c r="G251" s="112">
        <v>6.44</v>
      </c>
      <c r="H251" s="112">
        <v>44.01</v>
      </c>
      <c r="I251" s="112">
        <v>251.82</v>
      </c>
      <c r="J251" s="112">
        <v>0.036</v>
      </c>
      <c r="K251" s="109">
        <v>0.024</v>
      </c>
      <c r="L251" s="112">
        <v>0</v>
      </c>
      <c r="M251" s="109">
        <v>0.048</v>
      </c>
      <c r="N251" s="110">
        <v>0</v>
      </c>
      <c r="O251" s="110">
        <v>17.93</v>
      </c>
      <c r="P251" s="111">
        <v>95.25</v>
      </c>
      <c r="Q251" s="116">
        <v>0</v>
      </c>
      <c r="R251" s="110">
        <v>0.001</v>
      </c>
      <c r="S251" s="112">
        <v>33.47</v>
      </c>
      <c r="T251" s="114">
        <v>0.708</v>
      </c>
      <c r="U251" s="115"/>
      <c r="V251" s="115"/>
      <c r="W251" s="115"/>
      <c r="X251" s="115"/>
    </row>
    <row r="252" spans="1:24" s="104" customFormat="1" ht="22.5" customHeight="1">
      <c r="A252" s="140">
        <v>591</v>
      </c>
      <c r="B252" s="181" t="s">
        <v>83</v>
      </c>
      <c r="C252" s="182"/>
      <c r="D252" s="141">
        <v>120</v>
      </c>
      <c r="E252" s="142">
        <v>45.68</v>
      </c>
      <c r="F252" s="142">
        <v>5.86</v>
      </c>
      <c r="G252" s="142">
        <v>16.31</v>
      </c>
      <c r="H252" s="142">
        <v>3.07</v>
      </c>
      <c r="I252" s="142">
        <v>182.51</v>
      </c>
      <c r="J252" s="142">
        <v>0.14</v>
      </c>
      <c r="K252" s="142">
        <v>0.05</v>
      </c>
      <c r="L252" s="142">
        <v>0.09</v>
      </c>
      <c r="M252" s="142">
        <v>0</v>
      </c>
      <c r="N252" s="142">
        <v>0</v>
      </c>
      <c r="O252" s="142">
        <v>9.54</v>
      </c>
      <c r="P252" s="142">
        <v>63.38</v>
      </c>
      <c r="Q252" s="142">
        <v>1.12</v>
      </c>
      <c r="R252" s="142">
        <v>2.55</v>
      </c>
      <c r="S252" s="142">
        <v>11.3</v>
      </c>
      <c r="T252" s="142">
        <v>0.75</v>
      </c>
      <c r="U252" s="114"/>
      <c r="V252" s="115"/>
      <c r="W252" s="115"/>
      <c r="X252" s="115"/>
    </row>
    <row r="253" spans="1:24" s="104" customFormat="1" ht="12.75" customHeight="1">
      <c r="A253" s="133">
        <v>379</v>
      </c>
      <c r="B253" s="167" t="s">
        <v>39</v>
      </c>
      <c r="C253" s="168"/>
      <c r="D253" s="111">
        <v>200</v>
      </c>
      <c r="E253" s="112">
        <v>12.05</v>
      </c>
      <c r="F253" s="112">
        <v>3.17</v>
      </c>
      <c r="G253" s="112">
        <v>2.68</v>
      </c>
      <c r="H253" s="112">
        <v>15.95</v>
      </c>
      <c r="I253" s="112">
        <f>F253*4+G253*9+H253*4</f>
        <v>100.6</v>
      </c>
      <c r="J253" s="112">
        <v>0.04</v>
      </c>
      <c r="K253" s="112">
        <v>0.15</v>
      </c>
      <c r="L253" s="112">
        <v>1.3</v>
      </c>
      <c r="M253" s="113">
        <v>0.03</v>
      </c>
      <c r="N253" s="109">
        <v>0.06</v>
      </c>
      <c r="O253" s="112">
        <v>120.4</v>
      </c>
      <c r="P253" s="110">
        <v>90</v>
      </c>
      <c r="Q253" s="112">
        <v>1.1</v>
      </c>
      <c r="R253" s="113">
        <v>0.01</v>
      </c>
      <c r="S253" s="112">
        <v>14</v>
      </c>
      <c r="T253" s="112">
        <v>0.12</v>
      </c>
      <c r="U253" s="114"/>
      <c r="V253" s="115"/>
      <c r="W253" s="115"/>
      <c r="X253" s="115"/>
    </row>
    <row r="254" spans="1:24" s="104" customFormat="1" ht="11.25" customHeight="1">
      <c r="A254" s="117" t="s">
        <v>54</v>
      </c>
      <c r="B254" s="167" t="s">
        <v>40</v>
      </c>
      <c r="C254" s="168"/>
      <c r="D254" s="111">
        <v>40</v>
      </c>
      <c r="E254" s="112">
        <v>3.1</v>
      </c>
      <c r="F254" s="112">
        <f>1.52*D254/30</f>
        <v>2.0266666666666664</v>
      </c>
      <c r="G254" s="113">
        <f>0.16*D254/30</f>
        <v>0.21333333333333335</v>
      </c>
      <c r="H254" s="113">
        <f>9.84*D254/30</f>
        <v>13.120000000000001</v>
      </c>
      <c r="I254" s="113">
        <f>F254*4+G254*9+H254*4</f>
        <v>62.50666666666667</v>
      </c>
      <c r="J254" s="113">
        <f>0.02*D254/30</f>
        <v>0.02666666666666667</v>
      </c>
      <c r="K254" s="113">
        <f>0.01*D254/30</f>
        <v>0.013333333333333334</v>
      </c>
      <c r="L254" s="113">
        <f>0.44*D254/30</f>
        <v>0.5866666666666667</v>
      </c>
      <c r="M254" s="113">
        <v>0</v>
      </c>
      <c r="N254" s="113">
        <f>0.7*D254/30</f>
        <v>0.9333333333333333</v>
      </c>
      <c r="O254" s="113">
        <f>4*D254/30</f>
        <v>5.333333333333333</v>
      </c>
      <c r="P254" s="113">
        <f>13*D254/30</f>
        <v>17.333333333333332</v>
      </c>
      <c r="Q254" s="113">
        <f>0.008*D254/30</f>
        <v>0.010666666666666666</v>
      </c>
      <c r="R254" s="113">
        <f>0.001*D254/30</f>
        <v>0.0013333333333333333</v>
      </c>
      <c r="S254" s="113">
        <v>0</v>
      </c>
      <c r="T254" s="113">
        <f>0.22*D254/30</f>
        <v>0.29333333333333333</v>
      </c>
      <c r="U254" s="114"/>
      <c r="V254" s="115"/>
      <c r="W254" s="115"/>
      <c r="X254" s="115"/>
    </row>
    <row r="255" spans="1:20" s="100" customFormat="1" ht="12.75" customHeight="1">
      <c r="A255" s="143" t="s">
        <v>54</v>
      </c>
      <c r="B255" s="187" t="s">
        <v>85</v>
      </c>
      <c r="C255" s="187"/>
      <c r="D255" s="124">
        <v>10</v>
      </c>
      <c r="E255" s="101">
        <v>1.75</v>
      </c>
      <c r="F255" s="101">
        <v>0.4</v>
      </c>
      <c r="G255" s="101">
        <v>0.4</v>
      </c>
      <c r="H255" s="101">
        <v>9.8</v>
      </c>
      <c r="I255" s="101">
        <f>F255*4+G255*9+H255*4</f>
        <v>44.400000000000006</v>
      </c>
      <c r="J255" s="101">
        <v>0.04</v>
      </c>
      <c r="K255" s="101">
        <v>0.02</v>
      </c>
      <c r="L255" s="124">
        <v>10</v>
      </c>
      <c r="M255" s="124">
        <v>0.02</v>
      </c>
      <c r="N255" s="101">
        <v>0.2</v>
      </c>
      <c r="O255" s="101">
        <v>16</v>
      </c>
      <c r="P255" s="101">
        <v>11</v>
      </c>
      <c r="Q255" s="124">
        <v>0.03</v>
      </c>
      <c r="R255" s="124">
        <v>0.002</v>
      </c>
      <c r="S255" s="101">
        <v>9</v>
      </c>
      <c r="T255" s="101">
        <v>2.2</v>
      </c>
    </row>
    <row r="256" spans="1:24" s="104" customFormat="1" ht="11.25" customHeight="1">
      <c r="A256" s="63" t="s">
        <v>24</v>
      </c>
      <c r="B256" s="64"/>
      <c r="C256" s="64"/>
      <c r="D256" s="65">
        <f>SUM(D250:D255)</f>
        <v>590</v>
      </c>
      <c r="E256" s="118">
        <f>SUM(E250:E255)</f>
        <v>80</v>
      </c>
      <c r="F256" s="39">
        <f>SUM(F250:F255)</f>
        <v>16.229999999999997</v>
      </c>
      <c r="G256" s="39">
        <f aca="true" t="shared" si="65" ref="G256:T256">SUM(G250:G255)</f>
        <v>26.083333333333332</v>
      </c>
      <c r="H256" s="39">
        <f t="shared" si="65"/>
        <v>87.08333333333333</v>
      </c>
      <c r="I256" s="39">
        <f t="shared" si="65"/>
        <v>648.0633333333333</v>
      </c>
      <c r="J256" s="39">
        <f t="shared" si="65"/>
        <v>0.29166666666666663</v>
      </c>
      <c r="K256" s="39">
        <f t="shared" si="65"/>
        <v>0.2673333333333333</v>
      </c>
      <c r="L256" s="39">
        <f t="shared" si="65"/>
        <v>14.976666666666667</v>
      </c>
      <c r="M256" s="39">
        <f t="shared" si="65"/>
        <v>0.101</v>
      </c>
      <c r="N256" s="39">
        <f t="shared" si="65"/>
        <v>1.2233333333333334</v>
      </c>
      <c r="O256" s="39">
        <f t="shared" si="65"/>
        <v>176.10333333333335</v>
      </c>
      <c r="P256" s="39">
        <f t="shared" si="65"/>
        <v>289.56333333333333</v>
      </c>
      <c r="Q256" s="39">
        <f t="shared" si="65"/>
        <v>2.324666666666667</v>
      </c>
      <c r="R256" s="39">
        <f t="shared" si="65"/>
        <v>2.5653333333333324</v>
      </c>
      <c r="S256" s="39">
        <f t="shared" si="65"/>
        <v>71.97</v>
      </c>
      <c r="T256" s="39">
        <f t="shared" si="65"/>
        <v>4.251333333333333</v>
      </c>
      <c r="U256" s="38"/>
      <c r="V256" s="106"/>
      <c r="W256" s="106"/>
      <c r="X256" s="106"/>
    </row>
    <row r="257" spans="1:24" s="104" customFormat="1" ht="11.25" customHeight="1">
      <c r="A257" s="176" t="s">
        <v>50</v>
      </c>
      <c r="B257" s="177"/>
      <c r="C257" s="177"/>
      <c r="D257" s="178"/>
      <c r="E257" s="126"/>
      <c r="F257" s="119">
        <f aca="true" t="shared" si="66" ref="F257:T257">F256/F275</f>
        <v>0.1803333333333333</v>
      </c>
      <c r="G257" s="44">
        <f t="shared" si="66"/>
        <v>0.28351449275362317</v>
      </c>
      <c r="H257" s="44">
        <f t="shared" si="66"/>
        <v>0.2273716275021758</v>
      </c>
      <c r="I257" s="44">
        <f t="shared" si="66"/>
        <v>0.23825857843137252</v>
      </c>
      <c r="J257" s="44">
        <f t="shared" si="66"/>
        <v>0.20833333333333331</v>
      </c>
      <c r="K257" s="44">
        <f t="shared" si="66"/>
        <v>0.1670833333333333</v>
      </c>
      <c r="L257" s="44">
        <f t="shared" si="66"/>
        <v>0.21395238095238095</v>
      </c>
      <c r="M257" s="44">
        <f t="shared" si="66"/>
        <v>0.11222222222222222</v>
      </c>
      <c r="N257" s="44">
        <f t="shared" si="66"/>
        <v>0.10194444444444445</v>
      </c>
      <c r="O257" s="44">
        <f t="shared" si="66"/>
        <v>0.1467527777777778</v>
      </c>
      <c r="P257" s="44">
        <f t="shared" si="66"/>
        <v>0.24130277777777778</v>
      </c>
      <c r="Q257" s="44">
        <f t="shared" si="66"/>
        <v>0.16604761904761905</v>
      </c>
      <c r="R257" s="44">
        <f t="shared" si="66"/>
        <v>25.65333333333332</v>
      </c>
      <c r="S257" s="44">
        <f t="shared" si="66"/>
        <v>0.2399</v>
      </c>
      <c r="T257" s="44">
        <f t="shared" si="66"/>
        <v>0.23618518518518516</v>
      </c>
      <c r="U257" s="108"/>
      <c r="V257" s="106"/>
      <c r="W257" s="106"/>
      <c r="X257" s="106"/>
    </row>
    <row r="258" spans="1:24" s="104" customFormat="1" ht="11.25" customHeight="1">
      <c r="A258" s="213" t="s">
        <v>27</v>
      </c>
      <c r="B258" s="214"/>
      <c r="C258" s="214"/>
      <c r="D258" s="214"/>
      <c r="E258" s="214"/>
      <c r="F258" s="214"/>
      <c r="G258" s="214"/>
      <c r="H258" s="214"/>
      <c r="I258" s="214"/>
      <c r="J258" s="214"/>
      <c r="K258" s="214"/>
      <c r="L258" s="214"/>
      <c r="M258" s="214"/>
      <c r="N258" s="214"/>
      <c r="O258" s="214"/>
      <c r="P258" s="214"/>
      <c r="Q258" s="214"/>
      <c r="R258" s="214"/>
      <c r="S258" s="214"/>
      <c r="T258" s="215"/>
      <c r="U258" s="16"/>
      <c r="V258" s="26"/>
      <c r="W258" s="26"/>
      <c r="X258" s="26"/>
    </row>
    <row r="259" spans="1:24" s="104" customFormat="1" ht="11.25" customHeight="1">
      <c r="A259" s="66">
        <v>67</v>
      </c>
      <c r="B259" s="219" t="s">
        <v>66</v>
      </c>
      <c r="C259" s="220"/>
      <c r="D259" s="80">
        <v>100</v>
      </c>
      <c r="E259" s="80">
        <v>11.06</v>
      </c>
      <c r="F259" s="88">
        <f>1.5*D259/60</f>
        <v>2.5</v>
      </c>
      <c r="G259" s="88">
        <f>3.47*D259/60</f>
        <v>5.783333333333333</v>
      </c>
      <c r="H259" s="80">
        <v>11.28</v>
      </c>
      <c r="I259" s="112">
        <v>107.18</v>
      </c>
      <c r="J259" s="88">
        <f>0.04*D259/60</f>
        <v>0.06666666666666667</v>
      </c>
      <c r="K259" s="66">
        <f>0.03*D259/60</f>
        <v>0.05</v>
      </c>
      <c r="L259" s="88">
        <f>8.6*D259/60</f>
        <v>14.333333333333334</v>
      </c>
      <c r="M259" s="88">
        <f>0.74*D259/60</f>
        <v>1.2333333333333334</v>
      </c>
      <c r="N259" s="88">
        <f>0.2*D259/60</f>
        <v>0.3333333333333333</v>
      </c>
      <c r="O259" s="81">
        <f>23.39*D259/60</f>
        <v>38.983333333333334</v>
      </c>
      <c r="P259" s="81">
        <f>34.04*D259/60</f>
        <v>56.733333333333334</v>
      </c>
      <c r="Q259" s="88">
        <f>0.01*D259/60</f>
        <v>0.016666666666666666</v>
      </c>
      <c r="R259" s="88">
        <f>0.04*D259/60</f>
        <v>0.06666666666666667</v>
      </c>
      <c r="S259" s="88">
        <f>15.61*D259/60</f>
        <v>26.016666666666666</v>
      </c>
      <c r="T259" s="88">
        <f>0.7*D259/60</f>
        <v>1.1666666666666667</v>
      </c>
      <c r="U259" s="16"/>
      <c r="V259" s="26"/>
      <c r="W259" s="26"/>
      <c r="X259" s="26"/>
    </row>
    <row r="260" spans="1:24" s="104" customFormat="1" ht="23.25" customHeight="1">
      <c r="A260" s="133">
        <v>88</v>
      </c>
      <c r="B260" s="210" t="s">
        <v>82</v>
      </c>
      <c r="C260" s="211"/>
      <c r="D260" s="109">
        <v>250</v>
      </c>
      <c r="E260" s="109">
        <v>14.81</v>
      </c>
      <c r="F260" s="112">
        <v>2.44</v>
      </c>
      <c r="G260" s="112">
        <v>6.41</v>
      </c>
      <c r="H260" s="112">
        <v>11.11</v>
      </c>
      <c r="I260" s="112">
        <f>F260*4+G260*9+H260*4</f>
        <v>111.89</v>
      </c>
      <c r="J260" s="112">
        <v>0.03</v>
      </c>
      <c r="K260" s="112">
        <v>0.03</v>
      </c>
      <c r="L260" s="112">
        <v>11.39</v>
      </c>
      <c r="M260" s="112">
        <v>0.05</v>
      </c>
      <c r="N260" s="112">
        <v>0.099</v>
      </c>
      <c r="O260" s="112">
        <v>45.49</v>
      </c>
      <c r="P260" s="112">
        <v>29.96</v>
      </c>
      <c r="Q260" s="112">
        <v>1.44</v>
      </c>
      <c r="R260" s="113">
        <v>0.002</v>
      </c>
      <c r="S260" s="112">
        <v>15.35</v>
      </c>
      <c r="T260" s="112">
        <v>0.49</v>
      </c>
      <c r="U260" s="11"/>
      <c r="V260" s="24"/>
      <c r="W260" s="24"/>
      <c r="X260" s="24"/>
    </row>
    <row r="261" spans="1:24" s="104" customFormat="1" ht="21.75" customHeight="1">
      <c r="A261" s="67">
        <v>268</v>
      </c>
      <c r="B261" s="167" t="s">
        <v>73</v>
      </c>
      <c r="C261" s="168"/>
      <c r="D261" s="73">
        <v>90</v>
      </c>
      <c r="E261" s="73">
        <v>44.79</v>
      </c>
      <c r="F261" s="125">
        <f>14.8*D261/80</f>
        <v>16.65</v>
      </c>
      <c r="G261" s="125">
        <f>20.69*D261/80</f>
        <v>23.27625</v>
      </c>
      <c r="H261" s="125">
        <f>3.81*D261/80</f>
        <v>4.28625</v>
      </c>
      <c r="I261" s="125">
        <f>F261*4+G261*9+H261*4</f>
        <v>293.23125</v>
      </c>
      <c r="J261" s="74">
        <f>0.18*D261/80</f>
        <v>0.20249999999999999</v>
      </c>
      <c r="K261" s="125">
        <f>0.12*D261/80</f>
        <v>0.13499999999999998</v>
      </c>
      <c r="L261" s="125">
        <f>0.43*D261/80</f>
        <v>0.48375</v>
      </c>
      <c r="M261" s="74">
        <v>0.099</v>
      </c>
      <c r="N261" s="74">
        <f>0.01*D261/80</f>
        <v>0.01125</v>
      </c>
      <c r="O261" s="125">
        <f>48.45*D261/80</f>
        <v>54.50625</v>
      </c>
      <c r="P261" s="125">
        <f>177.9*D261/80</f>
        <v>200.1375</v>
      </c>
      <c r="Q261" s="74">
        <f>2.28*D261/80</f>
        <v>2.565</v>
      </c>
      <c r="R261" s="74">
        <f>0.04*D261/80</f>
        <v>0.045</v>
      </c>
      <c r="S261" s="125">
        <f>24.45*D261/80</f>
        <v>27.50625</v>
      </c>
      <c r="T261" s="125">
        <f>1.93*D261/80</f>
        <v>2.1712499999999997</v>
      </c>
      <c r="U261" s="32"/>
      <c r="V261" s="33"/>
      <c r="W261" s="33"/>
      <c r="X261" s="33"/>
    </row>
    <row r="262" spans="1:24" s="104" customFormat="1" ht="24" customHeight="1">
      <c r="A262" s="133">
        <v>203</v>
      </c>
      <c r="B262" s="167" t="s">
        <v>65</v>
      </c>
      <c r="C262" s="168"/>
      <c r="D262" s="111">
        <v>180</v>
      </c>
      <c r="E262" s="112">
        <v>8.37</v>
      </c>
      <c r="F262" s="112">
        <f>5.7*D262/150</f>
        <v>6.84</v>
      </c>
      <c r="G262" s="112">
        <f>3.43*D262/150</f>
        <v>4.116</v>
      </c>
      <c r="H262" s="112">
        <f>36.45*D262/150</f>
        <v>43.74000000000001</v>
      </c>
      <c r="I262" s="112">
        <f>F262*4+G262*9+H262*4</f>
        <v>239.36400000000003</v>
      </c>
      <c r="J262" s="112">
        <f>0.09*D262/150</f>
        <v>0.108</v>
      </c>
      <c r="K262" s="112">
        <f>0.03*D262/150</f>
        <v>0.036</v>
      </c>
      <c r="L262" s="112">
        <v>0</v>
      </c>
      <c r="M262" s="113">
        <f>0.03*D262/150</f>
        <v>0.036</v>
      </c>
      <c r="N262" s="112">
        <f>1.25*D262/150</f>
        <v>1.5</v>
      </c>
      <c r="O262" s="112">
        <f>13.28*D262/150</f>
        <v>15.936</v>
      </c>
      <c r="P262" s="112">
        <f>46.21*D262/150</f>
        <v>55.452</v>
      </c>
      <c r="Q262" s="112">
        <f>0.78*D262/150</f>
        <v>0.936</v>
      </c>
      <c r="R262" s="113">
        <f>0.0015*D262/150</f>
        <v>0.0018000000000000002</v>
      </c>
      <c r="S262" s="112">
        <f>8.47*D262/150</f>
        <v>10.164000000000001</v>
      </c>
      <c r="T262" s="112">
        <f>0.86*D262/150</f>
        <v>1.032</v>
      </c>
      <c r="U262" s="114"/>
      <c r="V262" s="115"/>
      <c r="W262" s="115"/>
      <c r="X262" s="115"/>
    </row>
    <row r="263" spans="1:24" s="104" customFormat="1" ht="12.75" customHeight="1">
      <c r="A263" s="133">
        <v>376</v>
      </c>
      <c r="B263" s="166" t="s">
        <v>93</v>
      </c>
      <c r="C263" s="166"/>
      <c r="D263" s="111">
        <v>200</v>
      </c>
      <c r="E263" s="112">
        <v>2.2</v>
      </c>
      <c r="F263" s="112">
        <v>0.2</v>
      </c>
      <c r="G263" s="112">
        <v>0.05</v>
      </c>
      <c r="H263" s="112">
        <v>15.01</v>
      </c>
      <c r="I263" s="112">
        <v>61.29</v>
      </c>
      <c r="J263" s="112">
        <v>0</v>
      </c>
      <c r="K263" s="112">
        <v>0.01</v>
      </c>
      <c r="L263" s="112">
        <v>9</v>
      </c>
      <c r="M263" s="109">
        <v>0</v>
      </c>
      <c r="N263" s="112">
        <v>0.045</v>
      </c>
      <c r="O263" s="112">
        <v>5.25</v>
      </c>
      <c r="P263" s="112">
        <v>8.24</v>
      </c>
      <c r="Q263" s="112">
        <v>0.008</v>
      </c>
      <c r="R263" s="113">
        <v>0</v>
      </c>
      <c r="S263" s="112">
        <v>4.4</v>
      </c>
      <c r="T263" s="112">
        <v>0.87</v>
      </c>
      <c r="U263" s="114"/>
      <c r="V263" s="115"/>
      <c r="W263" s="115"/>
      <c r="X263" s="115"/>
    </row>
    <row r="264" spans="1:24" ht="9.75">
      <c r="A264" s="156" t="s">
        <v>54</v>
      </c>
      <c r="B264" s="174" t="s">
        <v>85</v>
      </c>
      <c r="C264" s="175"/>
      <c r="D264" s="156">
        <v>10</v>
      </c>
      <c r="E264" s="157">
        <v>3.63</v>
      </c>
      <c r="F264" s="157">
        <v>0.65</v>
      </c>
      <c r="G264" s="158">
        <v>3.8</v>
      </c>
      <c r="H264" s="159">
        <v>17.6</v>
      </c>
      <c r="I264" s="157">
        <v>38</v>
      </c>
      <c r="J264" s="157">
        <v>0.026</v>
      </c>
      <c r="K264" s="157">
        <v>0.03</v>
      </c>
      <c r="L264" s="157">
        <v>0.13</v>
      </c>
      <c r="M264" s="157">
        <v>11.96</v>
      </c>
      <c r="N264" s="158">
        <v>0.39</v>
      </c>
      <c r="O264" s="157">
        <v>24.18</v>
      </c>
      <c r="P264" s="157">
        <v>49.4</v>
      </c>
      <c r="Q264" s="160">
        <v>0.2</v>
      </c>
      <c r="R264" s="157">
        <v>0.002</v>
      </c>
      <c r="S264" s="157">
        <v>18.72</v>
      </c>
      <c r="T264" s="157">
        <v>0.182</v>
      </c>
      <c r="U264"/>
      <c r="V264"/>
      <c r="W264"/>
      <c r="X264"/>
    </row>
    <row r="265" spans="1:24" s="104" customFormat="1" ht="11.25" customHeight="1">
      <c r="A265" s="72" t="s">
        <v>54</v>
      </c>
      <c r="B265" s="167" t="s">
        <v>35</v>
      </c>
      <c r="C265" s="168"/>
      <c r="D265" s="111">
        <v>40</v>
      </c>
      <c r="E265" s="112">
        <v>2.04</v>
      </c>
      <c r="F265" s="112">
        <f>2.64*D265/40</f>
        <v>2.64</v>
      </c>
      <c r="G265" s="112">
        <f>0.48*D265/40</f>
        <v>0.48</v>
      </c>
      <c r="H265" s="112">
        <f>13.68*D265/40</f>
        <v>13.680000000000001</v>
      </c>
      <c r="I265" s="110">
        <f>F265*4+G265*9+H265*4</f>
        <v>69.60000000000001</v>
      </c>
      <c r="J265" s="109">
        <f>0.08*D265/40</f>
        <v>0.08</v>
      </c>
      <c r="K265" s="112">
        <f>0.04*D265/40</f>
        <v>0.04</v>
      </c>
      <c r="L265" s="111">
        <v>0</v>
      </c>
      <c r="M265" s="111">
        <v>0</v>
      </c>
      <c r="N265" s="112">
        <f>2.4*D265/40</f>
        <v>2.4</v>
      </c>
      <c r="O265" s="112">
        <f>14*D265/40</f>
        <v>14</v>
      </c>
      <c r="P265" s="112">
        <f>63.2*D265/40</f>
        <v>63.2</v>
      </c>
      <c r="Q265" s="112">
        <f>1.2*D265/40</f>
        <v>1.2</v>
      </c>
      <c r="R265" s="113">
        <f>0.001*D265/40</f>
        <v>0.001</v>
      </c>
      <c r="S265" s="112">
        <f>9.4*D265/40</f>
        <v>9.4</v>
      </c>
      <c r="T265" s="109">
        <f>0.78*D265/40</f>
        <v>0.78</v>
      </c>
      <c r="U265" s="30"/>
      <c r="V265" s="31"/>
      <c r="W265" s="31"/>
      <c r="X265" s="31"/>
    </row>
    <row r="266" spans="1:24" s="104" customFormat="1" ht="11.25" customHeight="1">
      <c r="A266" s="117" t="s">
        <v>54</v>
      </c>
      <c r="B266" s="167" t="s">
        <v>40</v>
      </c>
      <c r="C266" s="168"/>
      <c r="D266" s="111">
        <v>40</v>
      </c>
      <c r="E266" s="112">
        <v>3.1</v>
      </c>
      <c r="F266" s="112">
        <f>1.52*D266/30</f>
        <v>2.0266666666666664</v>
      </c>
      <c r="G266" s="113">
        <f>0.16*D266/30</f>
        <v>0.21333333333333335</v>
      </c>
      <c r="H266" s="113">
        <f>9.84*D266/30</f>
        <v>13.120000000000001</v>
      </c>
      <c r="I266" s="113">
        <f>F266*4+G266*9+H266*4</f>
        <v>62.50666666666667</v>
      </c>
      <c r="J266" s="113">
        <f>0.02*D266/30</f>
        <v>0.02666666666666667</v>
      </c>
      <c r="K266" s="113">
        <f>0.01*D266/30</f>
        <v>0.013333333333333334</v>
      </c>
      <c r="L266" s="113">
        <f>0.44*D266/30</f>
        <v>0.5866666666666667</v>
      </c>
      <c r="M266" s="113">
        <v>0</v>
      </c>
      <c r="N266" s="113">
        <f>0.7*D266/30</f>
        <v>0.9333333333333333</v>
      </c>
      <c r="O266" s="113">
        <f>4*D266/30</f>
        <v>5.333333333333333</v>
      </c>
      <c r="P266" s="113">
        <f>13*D266/30</f>
        <v>17.333333333333332</v>
      </c>
      <c r="Q266" s="113">
        <f>0.008*D266/30</f>
        <v>0.010666666666666666</v>
      </c>
      <c r="R266" s="113">
        <f>0.001*D266/30</f>
        <v>0.0013333333333333333</v>
      </c>
      <c r="S266" s="113">
        <v>0</v>
      </c>
      <c r="T266" s="113">
        <f>0.22*D266/30</f>
        <v>0.29333333333333333</v>
      </c>
      <c r="U266" s="114"/>
      <c r="V266" s="115"/>
      <c r="W266" s="115"/>
      <c r="X266" s="115"/>
    </row>
    <row r="267" spans="1:24" s="104" customFormat="1" ht="11.25" customHeight="1">
      <c r="A267" s="61" t="s">
        <v>28</v>
      </c>
      <c r="B267" s="62"/>
      <c r="C267" s="62"/>
      <c r="D267" s="60">
        <f aca="true" t="shared" si="67" ref="D267:T267">SUM(D259:D266)</f>
        <v>910</v>
      </c>
      <c r="E267" s="118">
        <f t="shared" si="67"/>
        <v>90</v>
      </c>
      <c r="F267" s="39">
        <f t="shared" si="67"/>
        <v>33.94666666666666</v>
      </c>
      <c r="G267" s="38">
        <f t="shared" si="67"/>
        <v>44.128916666666655</v>
      </c>
      <c r="H267" s="38">
        <f t="shared" si="67"/>
        <v>129.82625000000002</v>
      </c>
      <c r="I267" s="38">
        <f t="shared" si="67"/>
        <v>983.0619166666667</v>
      </c>
      <c r="J267" s="38">
        <f t="shared" si="67"/>
        <v>0.5398333333333333</v>
      </c>
      <c r="K267" s="38">
        <f t="shared" si="67"/>
        <v>0.3443333333333332</v>
      </c>
      <c r="L267" s="38">
        <f t="shared" si="67"/>
        <v>35.923750000000005</v>
      </c>
      <c r="M267" s="38">
        <f t="shared" si="67"/>
        <v>13.378333333333334</v>
      </c>
      <c r="N267" s="38">
        <f t="shared" si="67"/>
        <v>5.711916666666667</v>
      </c>
      <c r="O267" s="38">
        <f t="shared" si="67"/>
        <v>203.67891666666668</v>
      </c>
      <c r="P267" s="38">
        <f t="shared" si="67"/>
        <v>480.4561666666666</v>
      </c>
      <c r="Q267" s="38">
        <f t="shared" si="67"/>
        <v>6.376333333333333</v>
      </c>
      <c r="R267" s="38">
        <f t="shared" si="67"/>
        <v>0.1198</v>
      </c>
      <c r="S267" s="38">
        <f t="shared" si="67"/>
        <v>111.55691666666668</v>
      </c>
      <c r="T267" s="38">
        <f t="shared" si="67"/>
        <v>6.985250000000001</v>
      </c>
      <c r="U267" s="38"/>
      <c r="V267" s="106"/>
      <c r="W267" s="106"/>
      <c r="X267" s="106"/>
    </row>
    <row r="268" spans="1:24" s="104" customFormat="1" ht="11.25" customHeight="1">
      <c r="A268" s="176" t="s">
        <v>50</v>
      </c>
      <c r="B268" s="177"/>
      <c r="C268" s="177"/>
      <c r="D268" s="178"/>
      <c r="E268" s="126"/>
      <c r="F268" s="119">
        <f aca="true" t="shared" si="68" ref="F268:T268">F267/F275</f>
        <v>0.37718518518518507</v>
      </c>
      <c r="G268" s="44">
        <f t="shared" si="68"/>
        <v>0.4796621376811593</v>
      </c>
      <c r="H268" s="44">
        <f t="shared" si="68"/>
        <v>0.3389719321148825</v>
      </c>
      <c r="I268" s="44">
        <f t="shared" si="68"/>
        <v>0.36141982230392156</v>
      </c>
      <c r="J268" s="44">
        <f t="shared" si="68"/>
        <v>0.3855952380952381</v>
      </c>
      <c r="K268" s="44">
        <f t="shared" si="68"/>
        <v>0.21520833333333325</v>
      </c>
      <c r="L268" s="44">
        <f t="shared" si="68"/>
        <v>0.5131964285714287</v>
      </c>
      <c r="M268" s="44">
        <f t="shared" si="68"/>
        <v>14.864814814814816</v>
      </c>
      <c r="N268" s="44">
        <f t="shared" si="68"/>
        <v>0.4759930555555556</v>
      </c>
      <c r="O268" s="44">
        <f t="shared" si="68"/>
        <v>0.16973243055555556</v>
      </c>
      <c r="P268" s="44">
        <f t="shared" si="68"/>
        <v>0.40038013888888885</v>
      </c>
      <c r="Q268" s="44">
        <f t="shared" si="68"/>
        <v>0.45545238095238094</v>
      </c>
      <c r="R268" s="44">
        <f t="shared" si="68"/>
        <v>1.198</v>
      </c>
      <c r="S268" s="44">
        <f t="shared" si="68"/>
        <v>0.37185638888888894</v>
      </c>
      <c r="T268" s="44">
        <f t="shared" si="68"/>
        <v>0.38806944444444447</v>
      </c>
      <c r="U268" s="108"/>
      <c r="V268" s="106"/>
      <c r="W268" s="106"/>
      <c r="X268" s="106"/>
    </row>
    <row r="269" spans="1:24" s="104" customFormat="1" ht="11.25" customHeight="1">
      <c r="A269" s="206" t="s">
        <v>29</v>
      </c>
      <c r="B269" s="207"/>
      <c r="C269" s="207"/>
      <c r="D269" s="207"/>
      <c r="E269" s="207"/>
      <c r="F269" s="207"/>
      <c r="G269" s="207"/>
      <c r="H269" s="207"/>
      <c r="I269" s="207"/>
      <c r="J269" s="207"/>
      <c r="K269" s="207"/>
      <c r="L269" s="207"/>
      <c r="M269" s="207"/>
      <c r="N269" s="207"/>
      <c r="O269" s="207"/>
      <c r="P269" s="207"/>
      <c r="Q269" s="207"/>
      <c r="R269" s="207"/>
      <c r="S269" s="207"/>
      <c r="T269" s="208"/>
      <c r="U269" s="11"/>
      <c r="V269" s="24"/>
      <c r="W269" s="24"/>
      <c r="X269" s="24"/>
    </row>
    <row r="270" spans="1:20" s="100" customFormat="1" ht="11.25" customHeight="1">
      <c r="A270" s="149"/>
      <c r="B270" s="187"/>
      <c r="C270" s="187"/>
      <c r="D270" s="124"/>
      <c r="E270" s="101"/>
      <c r="F270" s="101"/>
      <c r="G270" s="152"/>
      <c r="H270" s="152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</row>
    <row r="271" spans="1:24" s="104" customFormat="1" ht="12.75" customHeight="1">
      <c r="A271" s="133"/>
      <c r="B271" s="166"/>
      <c r="C271" s="166"/>
      <c r="D271" s="111"/>
      <c r="E271" s="112"/>
      <c r="F271" s="112"/>
      <c r="G271" s="112"/>
      <c r="H271" s="112"/>
      <c r="I271" s="112"/>
      <c r="J271" s="112"/>
      <c r="K271" s="112"/>
      <c r="L271" s="112"/>
      <c r="M271" s="109"/>
      <c r="N271" s="112"/>
      <c r="O271" s="112"/>
      <c r="P271" s="112"/>
      <c r="Q271" s="112"/>
      <c r="R271" s="113"/>
      <c r="S271" s="112"/>
      <c r="T271" s="112"/>
      <c r="U271" s="114"/>
      <c r="V271" s="115"/>
      <c r="W271" s="115"/>
      <c r="X271" s="115"/>
    </row>
    <row r="272" spans="1:24" s="1" customFormat="1" ht="11.25" customHeight="1">
      <c r="A272" s="61" t="s">
        <v>30</v>
      </c>
      <c r="B272" s="62"/>
      <c r="C272" s="62"/>
      <c r="D272" s="65">
        <f aca="true" t="shared" si="69" ref="D272:I272">SUM(D270:D271)</f>
        <v>0</v>
      </c>
      <c r="E272" s="118">
        <f t="shared" si="69"/>
        <v>0</v>
      </c>
      <c r="F272" s="39">
        <f t="shared" si="69"/>
        <v>0</v>
      </c>
      <c r="G272" s="38">
        <f t="shared" si="69"/>
        <v>0</v>
      </c>
      <c r="H272" s="38">
        <f t="shared" si="69"/>
        <v>0</v>
      </c>
      <c r="I272" s="38">
        <f t="shared" si="69"/>
        <v>0</v>
      </c>
      <c r="J272" s="39">
        <f aca="true" t="shared" si="70" ref="J272:T272">SUM(J270:J271)</f>
        <v>0</v>
      </c>
      <c r="K272" s="39">
        <f t="shared" si="70"/>
        <v>0</v>
      </c>
      <c r="L272" s="49">
        <f t="shared" si="70"/>
        <v>0</v>
      </c>
      <c r="M272" s="38">
        <f t="shared" si="70"/>
        <v>0</v>
      </c>
      <c r="N272" s="38">
        <f t="shared" si="70"/>
        <v>0</v>
      </c>
      <c r="O272" s="38">
        <f t="shared" si="70"/>
        <v>0</v>
      </c>
      <c r="P272" s="38">
        <f t="shared" si="70"/>
        <v>0</v>
      </c>
      <c r="Q272" s="38">
        <f t="shared" si="70"/>
        <v>0</v>
      </c>
      <c r="R272" s="39">
        <f t="shared" si="70"/>
        <v>0</v>
      </c>
      <c r="S272" s="38">
        <f t="shared" si="70"/>
        <v>0</v>
      </c>
      <c r="T272" s="39">
        <f t="shared" si="70"/>
        <v>0</v>
      </c>
      <c r="U272" s="38"/>
      <c r="V272" s="106"/>
      <c r="W272" s="106"/>
      <c r="X272" s="106"/>
    </row>
    <row r="273" spans="1:24" s="1" customFormat="1" ht="11.25" customHeight="1">
      <c r="A273" s="176" t="s">
        <v>50</v>
      </c>
      <c r="B273" s="177"/>
      <c r="C273" s="177"/>
      <c r="D273" s="178"/>
      <c r="E273" s="127"/>
      <c r="F273" s="71">
        <f>F272/F275</f>
        <v>0</v>
      </c>
      <c r="G273" s="44">
        <f aca="true" t="shared" si="71" ref="G273:T273">G272/G275</f>
        <v>0</v>
      </c>
      <c r="H273" s="44">
        <f t="shared" si="71"/>
        <v>0</v>
      </c>
      <c r="I273" s="44">
        <f t="shared" si="71"/>
        <v>0</v>
      </c>
      <c r="J273" s="44">
        <f t="shared" si="71"/>
        <v>0</v>
      </c>
      <c r="K273" s="44">
        <f t="shared" si="71"/>
        <v>0</v>
      </c>
      <c r="L273" s="44">
        <f t="shared" si="71"/>
        <v>0</v>
      </c>
      <c r="M273" s="44">
        <f t="shared" si="71"/>
        <v>0</v>
      </c>
      <c r="N273" s="44">
        <f t="shared" si="71"/>
        <v>0</v>
      </c>
      <c r="O273" s="44">
        <f t="shared" si="71"/>
        <v>0</v>
      </c>
      <c r="P273" s="44">
        <f t="shared" si="71"/>
        <v>0</v>
      </c>
      <c r="Q273" s="44">
        <f t="shared" si="71"/>
        <v>0</v>
      </c>
      <c r="R273" s="44">
        <f t="shared" si="71"/>
        <v>0</v>
      </c>
      <c r="S273" s="44">
        <f t="shared" si="71"/>
        <v>0</v>
      </c>
      <c r="T273" s="44">
        <f t="shared" si="71"/>
        <v>0</v>
      </c>
      <c r="U273" s="108"/>
      <c r="V273" s="106"/>
      <c r="W273" s="106"/>
      <c r="X273" s="106"/>
    </row>
    <row r="274" spans="1:24" s="1" customFormat="1" ht="11.25" customHeight="1">
      <c r="A274" s="61" t="s">
        <v>49</v>
      </c>
      <c r="B274" s="62"/>
      <c r="C274" s="62"/>
      <c r="D274" s="89">
        <f>D267+D256</f>
        <v>1500</v>
      </c>
      <c r="E274" s="136">
        <f>E267+E256</f>
        <v>170</v>
      </c>
      <c r="F274" s="39">
        <f aca="true" t="shared" si="72" ref="F274:T274">SUM(F256,F267,F272)</f>
        <v>50.176666666666655</v>
      </c>
      <c r="G274" s="38">
        <f t="shared" si="72"/>
        <v>70.21224999999998</v>
      </c>
      <c r="H274" s="38">
        <f t="shared" si="72"/>
        <v>216.90958333333333</v>
      </c>
      <c r="I274" s="38">
        <f t="shared" si="72"/>
        <v>1631.12525</v>
      </c>
      <c r="J274" s="39">
        <f t="shared" si="72"/>
        <v>0.8314999999999999</v>
      </c>
      <c r="K274" s="39">
        <f t="shared" si="72"/>
        <v>0.6116666666666666</v>
      </c>
      <c r="L274" s="38">
        <f t="shared" si="72"/>
        <v>50.90041666666667</v>
      </c>
      <c r="M274" s="39">
        <f t="shared" si="72"/>
        <v>13.479333333333335</v>
      </c>
      <c r="N274" s="39">
        <f t="shared" si="72"/>
        <v>6.935250000000001</v>
      </c>
      <c r="O274" s="38">
        <f t="shared" si="72"/>
        <v>379.78225000000003</v>
      </c>
      <c r="P274" s="38">
        <f t="shared" si="72"/>
        <v>770.0194999999999</v>
      </c>
      <c r="Q274" s="39">
        <f t="shared" si="72"/>
        <v>8.701</v>
      </c>
      <c r="R274" s="40">
        <f t="shared" si="72"/>
        <v>2.6851333333333325</v>
      </c>
      <c r="S274" s="39">
        <f t="shared" si="72"/>
        <v>183.5269166666667</v>
      </c>
      <c r="T274" s="39">
        <f t="shared" si="72"/>
        <v>11.236583333333334</v>
      </c>
      <c r="U274" s="42"/>
      <c r="V274" s="106"/>
      <c r="W274" s="106"/>
      <c r="X274" s="106"/>
    </row>
    <row r="275" spans="1:24" s="1" customFormat="1" ht="11.25" customHeight="1">
      <c r="A275" s="169" t="s">
        <v>51</v>
      </c>
      <c r="B275" s="170"/>
      <c r="C275" s="170"/>
      <c r="D275" s="171"/>
      <c r="E275" s="132"/>
      <c r="F275" s="112">
        <v>90</v>
      </c>
      <c r="G275" s="110">
        <v>92</v>
      </c>
      <c r="H275" s="110">
        <v>383</v>
      </c>
      <c r="I275" s="110">
        <v>2720</v>
      </c>
      <c r="J275" s="112">
        <v>1.4</v>
      </c>
      <c r="K275" s="112">
        <v>1.6</v>
      </c>
      <c r="L275" s="111">
        <v>70</v>
      </c>
      <c r="M275" s="112">
        <v>0.9</v>
      </c>
      <c r="N275" s="111">
        <v>12</v>
      </c>
      <c r="O275" s="111">
        <v>1200</v>
      </c>
      <c r="P275" s="111">
        <v>1200</v>
      </c>
      <c r="Q275" s="111">
        <v>14</v>
      </c>
      <c r="R275" s="110">
        <v>0.1</v>
      </c>
      <c r="S275" s="111">
        <v>300</v>
      </c>
      <c r="T275" s="112">
        <v>18</v>
      </c>
      <c r="U275" s="114"/>
      <c r="V275" s="115"/>
      <c r="W275" s="115"/>
      <c r="X275" s="115"/>
    </row>
    <row r="276" spans="1:24" s="1" customFormat="1" ht="11.25" customHeight="1">
      <c r="A276" s="176" t="s">
        <v>50</v>
      </c>
      <c r="B276" s="177"/>
      <c r="C276" s="177"/>
      <c r="D276" s="178"/>
      <c r="E276" s="127"/>
      <c r="F276" s="71">
        <f aca="true" t="shared" si="73" ref="F276:T276">F274/F275</f>
        <v>0.5575185185185184</v>
      </c>
      <c r="G276" s="44">
        <f t="shared" si="73"/>
        <v>0.7631766304347825</v>
      </c>
      <c r="H276" s="44">
        <f t="shared" si="73"/>
        <v>0.5663435596170583</v>
      </c>
      <c r="I276" s="44">
        <f t="shared" si="73"/>
        <v>0.5996784007352941</v>
      </c>
      <c r="J276" s="44">
        <f t="shared" si="73"/>
        <v>0.5939285714285714</v>
      </c>
      <c r="K276" s="44">
        <f t="shared" si="73"/>
        <v>0.3822916666666666</v>
      </c>
      <c r="L276" s="44">
        <f t="shared" si="73"/>
        <v>0.7271488095238096</v>
      </c>
      <c r="M276" s="45">
        <f t="shared" si="73"/>
        <v>14.977037037037038</v>
      </c>
      <c r="N276" s="44">
        <f t="shared" si="73"/>
        <v>0.5779375000000001</v>
      </c>
      <c r="O276" s="44">
        <f t="shared" si="73"/>
        <v>0.3164852083333334</v>
      </c>
      <c r="P276" s="44">
        <f t="shared" si="73"/>
        <v>0.6416829166666665</v>
      </c>
      <c r="Q276" s="44">
        <f t="shared" si="73"/>
        <v>0.6215</v>
      </c>
      <c r="R276" s="45">
        <f t="shared" si="73"/>
        <v>26.851333333333322</v>
      </c>
      <c r="S276" s="44">
        <f t="shared" si="73"/>
        <v>0.611756388888889</v>
      </c>
      <c r="T276" s="45">
        <f t="shared" si="73"/>
        <v>0.6242546296296296</v>
      </c>
      <c r="U276" s="46"/>
      <c r="V276" s="47"/>
      <c r="W276" s="47"/>
      <c r="X276" s="47"/>
    </row>
    <row r="277" spans="1:24" s="1" customFormat="1" ht="11.25" customHeight="1">
      <c r="A277" s="54" t="s">
        <v>68</v>
      </c>
      <c r="B277" s="54"/>
      <c r="C277" s="128"/>
      <c r="D277" s="128"/>
      <c r="E277" s="128"/>
      <c r="F277" s="84"/>
      <c r="G277" s="104"/>
      <c r="H277" s="2"/>
      <c r="I277" s="2"/>
      <c r="J277" s="104"/>
      <c r="K277" s="104"/>
      <c r="L277" s="104"/>
      <c r="M277" s="195" t="s">
        <v>53</v>
      </c>
      <c r="N277" s="195"/>
      <c r="O277" s="195"/>
      <c r="P277" s="195"/>
      <c r="Q277" s="195"/>
      <c r="R277" s="195"/>
      <c r="S277" s="195"/>
      <c r="T277" s="195"/>
      <c r="U277" s="12"/>
      <c r="V277" s="19"/>
      <c r="W277" s="19"/>
      <c r="X277" s="19"/>
    </row>
    <row r="278" spans="1:24" s="1" customFormat="1" ht="11.25" customHeight="1">
      <c r="A278" s="54"/>
      <c r="B278" s="54"/>
      <c r="C278" s="128"/>
      <c r="D278" s="128"/>
      <c r="E278" s="128"/>
      <c r="F278" s="84"/>
      <c r="G278" s="104"/>
      <c r="H278" s="2"/>
      <c r="I278" s="2"/>
      <c r="J278" s="104"/>
      <c r="K278" s="104"/>
      <c r="L278" s="104"/>
      <c r="M278" s="135"/>
      <c r="N278" s="135"/>
      <c r="O278" s="135"/>
      <c r="P278" s="135"/>
      <c r="Q278" s="135"/>
      <c r="R278" s="135"/>
      <c r="S278" s="135"/>
      <c r="T278" s="135"/>
      <c r="U278" s="12"/>
      <c r="V278" s="19"/>
      <c r="W278" s="19"/>
      <c r="X278" s="19"/>
    </row>
    <row r="279" spans="1:24" s="1" customFormat="1" ht="11.25" customHeight="1">
      <c r="A279" s="188"/>
      <c r="B279" s="188"/>
      <c r="C279" s="188"/>
      <c r="D279" s="188"/>
      <c r="E279" s="188"/>
      <c r="F279" s="188"/>
      <c r="G279" s="188"/>
      <c r="H279" s="188"/>
      <c r="I279" s="188"/>
      <c r="J279" s="188"/>
      <c r="K279" s="188"/>
      <c r="L279" s="188"/>
      <c r="M279" s="188"/>
      <c r="N279" s="188"/>
      <c r="O279" s="188"/>
      <c r="P279" s="188"/>
      <c r="Q279" s="188"/>
      <c r="R279" s="188"/>
      <c r="S279" s="188"/>
      <c r="T279" s="188"/>
      <c r="U279" s="13"/>
      <c r="V279" s="25"/>
      <c r="W279" s="25"/>
      <c r="X279" s="25"/>
    </row>
    <row r="280" spans="1:24" s="1" customFormat="1" ht="11.25" customHeight="1">
      <c r="A280" s="58" t="s">
        <v>42</v>
      </c>
      <c r="B280" s="54"/>
      <c r="C280" s="54"/>
      <c r="D280" s="2"/>
      <c r="E280" s="2"/>
      <c r="F280" s="105"/>
      <c r="G280" s="197" t="s">
        <v>33</v>
      </c>
      <c r="H280" s="197"/>
      <c r="I280" s="197"/>
      <c r="J280" s="104"/>
      <c r="K280" s="104"/>
      <c r="L280" s="193" t="s">
        <v>1</v>
      </c>
      <c r="M280" s="193"/>
      <c r="N280" s="189"/>
      <c r="O280" s="189"/>
      <c r="P280" s="189"/>
      <c r="Q280" s="189"/>
      <c r="R280" s="104"/>
      <c r="S280" s="104"/>
      <c r="T280" s="104"/>
      <c r="U280" s="14"/>
      <c r="V280" s="20"/>
      <c r="W280" s="20"/>
      <c r="X280" s="20"/>
    </row>
    <row r="281" spans="1:24" s="1" customFormat="1" ht="11.25" customHeight="1">
      <c r="A281" s="54"/>
      <c r="B281" s="54"/>
      <c r="C281" s="54"/>
      <c r="D281" s="186" t="s">
        <v>2</v>
      </c>
      <c r="E281" s="186"/>
      <c r="F281" s="186"/>
      <c r="G281" s="7">
        <v>2</v>
      </c>
      <c r="H281" s="104"/>
      <c r="I281" s="2"/>
      <c r="J281" s="2"/>
      <c r="K281" s="2"/>
      <c r="L281" s="186" t="s">
        <v>3</v>
      </c>
      <c r="M281" s="186"/>
      <c r="N281" s="205" t="s">
        <v>44</v>
      </c>
      <c r="O281" s="205"/>
      <c r="P281" s="205"/>
      <c r="Q281" s="205"/>
      <c r="R281" s="205"/>
      <c r="S281" s="205"/>
      <c r="T281" s="205"/>
      <c r="U281" s="15"/>
      <c r="V281" s="21"/>
      <c r="W281" s="21"/>
      <c r="X281" s="21"/>
    </row>
    <row r="282" spans="1:24" s="104" customFormat="1" ht="21.75" customHeight="1">
      <c r="A282" s="190" t="s">
        <v>4</v>
      </c>
      <c r="B282" s="198" t="s">
        <v>5</v>
      </c>
      <c r="C282" s="199"/>
      <c r="D282" s="190" t="s">
        <v>6</v>
      </c>
      <c r="E282" s="131"/>
      <c r="F282" s="183" t="s">
        <v>7</v>
      </c>
      <c r="G282" s="184"/>
      <c r="H282" s="185"/>
      <c r="I282" s="190" t="s">
        <v>8</v>
      </c>
      <c r="J282" s="183" t="s">
        <v>9</v>
      </c>
      <c r="K282" s="184"/>
      <c r="L282" s="184"/>
      <c r="M282" s="184"/>
      <c r="N282" s="185"/>
      <c r="O282" s="183" t="s">
        <v>10</v>
      </c>
      <c r="P282" s="184"/>
      <c r="Q282" s="184"/>
      <c r="R282" s="184"/>
      <c r="S282" s="184"/>
      <c r="T282" s="185"/>
      <c r="U282" s="9"/>
      <c r="V282" s="20"/>
      <c r="W282" s="20"/>
      <c r="X282" s="20"/>
    </row>
    <row r="283" spans="1:24" s="104" customFormat="1" ht="21" customHeight="1">
      <c r="A283" s="191"/>
      <c r="B283" s="200"/>
      <c r="C283" s="201"/>
      <c r="D283" s="191"/>
      <c r="E283" s="130"/>
      <c r="F283" s="82" t="s">
        <v>11</v>
      </c>
      <c r="G283" s="134" t="s">
        <v>12</v>
      </c>
      <c r="H283" s="134" t="s">
        <v>13</v>
      </c>
      <c r="I283" s="191"/>
      <c r="J283" s="134" t="s">
        <v>14</v>
      </c>
      <c r="K283" s="134" t="s">
        <v>45</v>
      </c>
      <c r="L283" s="134" t="s">
        <v>15</v>
      </c>
      <c r="M283" s="134" t="s">
        <v>16</v>
      </c>
      <c r="N283" s="134" t="s">
        <v>17</v>
      </c>
      <c r="O283" s="134" t="s">
        <v>18</v>
      </c>
      <c r="P283" s="134" t="s">
        <v>19</v>
      </c>
      <c r="Q283" s="134" t="s">
        <v>46</v>
      </c>
      <c r="R283" s="134" t="s">
        <v>47</v>
      </c>
      <c r="S283" s="134" t="s">
        <v>20</v>
      </c>
      <c r="T283" s="134" t="s">
        <v>21</v>
      </c>
      <c r="U283" s="9"/>
      <c r="V283" s="20"/>
      <c r="W283" s="20"/>
      <c r="X283" s="20"/>
    </row>
    <row r="284" spans="1:24" s="104" customFormat="1" ht="11.25" customHeight="1">
      <c r="A284" s="133">
        <v>1</v>
      </c>
      <c r="B284" s="179">
        <v>2</v>
      </c>
      <c r="C284" s="180"/>
      <c r="D284" s="37">
        <v>3</v>
      </c>
      <c r="E284" s="37"/>
      <c r="F284" s="83">
        <v>4</v>
      </c>
      <c r="G284" s="37">
        <v>5</v>
      </c>
      <c r="H284" s="37">
        <v>6</v>
      </c>
      <c r="I284" s="37">
        <v>7</v>
      </c>
      <c r="J284" s="37">
        <v>8</v>
      </c>
      <c r="K284" s="37">
        <v>9</v>
      </c>
      <c r="L284" s="37">
        <v>10</v>
      </c>
      <c r="M284" s="37">
        <v>11</v>
      </c>
      <c r="N284" s="37">
        <v>12</v>
      </c>
      <c r="O284" s="37">
        <v>13</v>
      </c>
      <c r="P284" s="37">
        <v>14</v>
      </c>
      <c r="Q284" s="37">
        <v>15</v>
      </c>
      <c r="R284" s="37">
        <v>16</v>
      </c>
      <c r="S284" s="37">
        <v>17</v>
      </c>
      <c r="T284" s="37">
        <v>18</v>
      </c>
      <c r="U284" s="10"/>
      <c r="V284" s="20"/>
      <c r="W284" s="20"/>
      <c r="X284" s="20"/>
    </row>
    <row r="285" spans="1:24" s="104" customFormat="1" ht="11.25" customHeight="1">
      <c r="A285" s="206" t="s">
        <v>25</v>
      </c>
      <c r="B285" s="207"/>
      <c r="C285" s="207"/>
      <c r="D285" s="207"/>
      <c r="E285" s="207"/>
      <c r="F285" s="207"/>
      <c r="G285" s="207"/>
      <c r="H285" s="207"/>
      <c r="I285" s="207"/>
      <c r="J285" s="207"/>
      <c r="K285" s="207"/>
      <c r="L285" s="207"/>
      <c r="M285" s="207"/>
      <c r="N285" s="207"/>
      <c r="O285" s="207"/>
      <c r="P285" s="207"/>
      <c r="Q285" s="207"/>
      <c r="R285" s="207"/>
      <c r="S285" s="207"/>
      <c r="T285" s="208"/>
      <c r="U285" s="11"/>
      <c r="V285" s="20"/>
      <c r="W285" s="20"/>
      <c r="X285" s="20"/>
    </row>
    <row r="286" spans="1:24" s="104" customFormat="1" ht="11.25" customHeight="1">
      <c r="A286" s="66">
        <v>338</v>
      </c>
      <c r="B286" s="167" t="s">
        <v>84</v>
      </c>
      <c r="C286" s="168"/>
      <c r="D286" s="111">
        <v>100</v>
      </c>
      <c r="E286" s="112">
        <v>30.29</v>
      </c>
      <c r="F286" s="112">
        <v>0.9</v>
      </c>
      <c r="G286" s="109">
        <v>0.2</v>
      </c>
      <c r="H286" s="110">
        <v>8.1</v>
      </c>
      <c r="I286" s="112">
        <f aca="true" t="shared" si="74" ref="I286:I291">F286*4+G286*9+H286*4</f>
        <v>37.8</v>
      </c>
      <c r="J286" s="112">
        <v>0.04</v>
      </c>
      <c r="K286" s="112">
        <v>0.03</v>
      </c>
      <c r="L286" s="112">
        <v>60</v>
      </c>
      <c r="M286" s="112">
        <v>0.008</v>
      </c>
      <c r="N286" s="109">
        <v>0.2</v>
      </c>
      <c r="O286" s="112">
        <v>34</v>
      </c>
      <c r="P286" s="112">
        <v>23</v>
      </c>
      <c r="Q286" s="113">
        <v>0.2</v>
      </c>
      <c r="R286" s="112">
        <v>0.002</v>
      </c>
      <c r="S286" s="112">
        <v>15</v>
      </c>
      <c r="T286" s="112">
        <v>0.3</v>
      </c>
      <c r="U286" s="11"/>
      <c r="V286" s="24"/>
      <c r="W286" s="24"/>
      <c r="X286" s="24"/>
    </row>
    <row r="287" spans="1:24" s="104" customFormat="1" ht="11.25" customHeight="1">
      <c r="A287" s="94">
        <v>15</v>
      </c>
      <c r="B287" s="167" t="s">
        <v>63</v>
      </c>
      <c r="C287" s="168"/>
      <c r="D287" s="111">
        <v>25</v>
      </c>
      <c r="E287" s="112">
        <v>16</v>
      </c>
      <c r="F287" s="112">
        <f>2.32*D287/10</f>
        <v>5.799999999999999</v>
      </c>
      <c r="G287" s="112">
        <f>3.4*D287/10</f>
        <v>8.5</v>
      </c>
      <c r="H287" s="112">
        <f>0.01*D287/10</f>
        <v>0.025</v>
      </c>
      <c r="I287" s="112">
        <f t="shared" si="74"/>
        <v>99.79999999999998</v>
      </c>
      <c r="J287" s="112">
        <f>0.004*D287/10</f>
        <v>0.01</v>
      </c>
      <c r="K287" s="112">
        <f>0.03*D287/10</f>
        <v>0.075</v>
      </c>
      <c r="L287" s="112">
        <f>0.07*D287/10</f>
        <v>0.17500000000000002</v>
      </c>
      <c r="M287" s="113">
        <f>0.023*D287/10</f>
        <v>0.057499999999999996</v>
      </c>
      <c r="N287" s="112">
        <f>0.05*D287/10</f>
        <v>0.125</v>
      </c>
      <c r="O287" s="112">
        <f>88*D287/10</f>
        <v>220</v>
      </c>
      <c r="P287" s="112">
        <f>50*D287/10</f>
        <v>125</v>
      </c>
      <c r="Q287" s="112">
        <f>0.4*D287/10</f>
        <v>1</v>
      </c>
      <c r="R287" s="113">
        <f>0.02*D287/10</f>
        <v>0.05</v>
      </c>
      <c r="S287" s="112">
        <f>3.5*D287/10</f>
        <v>8.75</v>
      </c>
      <c r="T287" s="112">
        <f>0.13*D287/10</f>
        <v>0.325</v>
      </c>
      <c r="U287" s="11"/>
      <c r="V287" s="24"/>
      <c r="W287" s="24"/>
      <c r="X287" s="24"/>
    </row>
    <row r="288" spans="1:24" s="104" customFormat="1" ht="21.75" customHeight="1">
      <c r="A288" s="117">
        <v>173</v>
      </c>
      <c r="B288" s="167" t="s">
        <v>87</v>
      </c>
      <c r="C288" s="168"/>
      <c r="D288" s="111">
        <v>250</v>
      </c>
      <c r="E288" s="112">
        <v>18.41</v>
      </c>
      <c r="F288" s="112">
        <f>7.3*D288/200</f>
        <v>9.125</v>
      </c>
      <c r="G288" s="112">
        <f>12.5*D288/200</f>
        <v>15.625</v>
      </c>
      <c r="H288" s="112">
        <f>54.3*D288/200</f>
        <v>67.875</v>
      </c>
      <c r="I288" s="112">
        <f t="shared" si="74"/>
        <v>448.625</v>
      </c>
      <c r="J288" s="112">
        <f>0.14*D288/200</f>
        <v>0.175</v>
      </c>
      <c r="K288" s="112">
        <f>0.18*D288/200</f>
        <v>0.225</v>
      </c>
      <c r="L288" s="112">
        <f>3.35*D288/200</f>
        <v>4.1875</v>
      </c>
      <c r="M288" s="113">
        <f>0.037*D288/200</f>
        <v>0.04625</v>
      </c>
      <c r="N288" s="112">
        <f>1.3*D288/200</f>
        <v>1.625</v>
      </c>
      <c r="O288" s="110">
        <f>147.6*D288/200</f>
        <v>184.5</v>
      </c>
      <c r="P288" s="110">
        <f>198.6*D288/200</f>
        <v>248.25</v>
      </c>
      <c r="Q288" s="111">
        <v>0</v>
      </c>
      <c r="R288" s="110">
        <v>0</v>
      </c>
      <c r="S288" s="110">
        <f>57.8*D288/200</f>
        <v>72.25</v>
      </c>
      <c r="T288" s="112">
        <f>1.3*D288/200</f>
        <v>1.625</v>
      </c>
      <c r="U288" s="114"/>
      <c r="V288" s="115"/>
      <c r="W288" s="115"/>
      <c r="X288" s="115"/>
    </row>
    <row r="289" spans="1:24" s="104" customFormat="1" ht="12.75" customHeight="1">
      <c r="A289" s="133">
        <v>376</v>
      </c>
      <c r="B289" s="166" t="s">
        <v>93</v>
      </c>
      <c r="C289" s="166"/>
      <c r="D289" s="111">
        <v>200</v>
      </c>
      <c r="E289" s="112">
        <v>2.2</v>
      </c>
      <c r="F289" s="112">
        <v>0.2</v>
      </c>
      <c r="G289" s="112">
        <v>0.05</v>
      </c>
      <c r="H289" s="112">
        <v>15.01</v>
      </c>
      <c r="I289" s="112">
        <v>61.29</v>
      </c>
      <c r="J289" s="112">
        <v>0</v>
      </c>
      <c r="K289" s="112">
        <v>0.01</v>
      </c>
      <c r="L289" s="112">
        <v>9</v>
      </c>
      <c r="M289" s="109">
        <v>0</v>
      </c>
      <c r="N289" s="112">
        <v>0.045</v>
      </c>
      <c r="O289" s="112">
        <v>5.25</v>
      </c>
      <c r="P289" s="112">
        <v>8.24</v>
      </c>
      <c r="Q289" s="112">
        <v>0.008</v>
      </c>
      <c r="R289" s="113">
        <v>0</v>
      </c>
      <c r="S289" s="112">
        <v>4.4</v>
      </c>
      <c r="T289" s="112">
        <v>0.87</v>
      </c>
      <c r="U289" s="114"/>
      <c r="V289" s="115"/>
      <c r="W289" s="115"/>
      <c r="X289" s="115"/>
    </row>
    <row r="290" spans="1:24" s="104" customFormat="1" ht="13.5" customHeight="1">
      <c r="A290" s="117" t="s">
        <v>54</v>
      </c>
      <c r="B290" s="167" t="s">
        <v>40</v>
      </c>
      <c r="C290" s="168"/>
      <c r="D290" s="111">
        <v>40</v>
      </c>
      <c r="E290" s="112">
        <v>3.1</v>
      </c>
      <c r="F290" s="112">
        <f>1.52*D290/30</f>
        <v>2.0266666666666664</v>
      </c>
      <c r="G290" s="113">
        <f>0.16*D290/30</f>
        <v>0.21333333333333335</v>
      </c>
      <c r="H290" s="113">
        <f>9.84*D290/30</f>
        <v>13.120000000000001</v>
      </c>
      <c r="I290" s="113">
        <f t="shared" si="74"/>
        <v>62.50666666666667</v>
      </c>
      <c r="J290" s="113">
        <f>0.02*D290/30</f>
        <v>0.02666666666666667</v>
      </c>
      <c r="K290" s="113">
        <f>0.01*D290/30</f>
        <v>0.013333333333333334</v>
      </c>
      <c r="L290" s="113">
        <f>0.44*D290/30</f>
        <v>0.5866666666666667</v>
      </c>
      <c r="M290" s="113">
        <v>0</v>
      </c>
      <c r="N290" s="113">
        <f>0.7*D290/30</f>
        <v>0.9333333333333333</v>
      </c>
      <c r="O290" s="113">
        <f>4*D290/30</f>
        <v>5.333333333333333</v>
      </c>
      <c r="P290" s="113">
        <f>13*D290/30</f>
        <v>17.333333333333332</v>
      </c>
      <c r="Q290" s="113">
        <f>0.008*D290/30</f>
        <v>0.010666666666666666</v>
      </c>
      <c r="R290" s="113">
        <f>0.001*D290/30</f>
        <v>0.0013333333333333333</v>
      </c>
      <c r="S290" s="113">
        <v>0</v>
      </c>
      <c r="T290" s="113">
        <f>0.22*D290/30</f>
        <v>0.29333333333333333</v>
      </c>
      <c r="U290" s="114"/>
      <c r="V290" s="115"/>
      <c r="W290" s="115"/>
      <c r="X290" s="115"/>
    </row>
    <row r="291" spans="1:20" s="100" customFormat="1" ht="12.75" customHeight="1">
      <c r="A291" s="143" t="s">
        <v>54</v>
      </c>
      <c r="B291" s="187" t="s">
        <v>85</v>
      </c>
      <c r="C291" s="187"/>
      <c r="D291" s="124">
        <v>20</v>
      </c>
      <c r="E291" s="101">
        <v>10</v>
      </c>
      <c r="F291" s="101">
        <v>0.4</v>
      </c>
      <c r="G291" s="101">
        <v>0.4</v>
      </c>
      <c r="H291" s="101">
        <v>9.8</v>
      </c>
      <c r="I291" s="101">
        <f t="shared" si="74"/>
        <v>44.400000000000006</v>
      </c>
      <c r="J291" s="101">
        <v>0.04</v>
      </c>
      <c r="K291" s="101">
        <v>0.02</v>
      </c>
      <c r="L291" s="124">
        <v>10</v>
      </c>
      <c r="M291" s="124">
        <v>0.02</v>
      </c>
      <c r="N291" s="101">
        <v>0.2</v>
      </c>
      <c r="O291" s="101">
        <v>16</v>
      </c>
      <c r="P291" s="101">
        <v>11</v>
      </c>
      <c r="Q291" s="124">
        <v>0.03</v>
      </c>
      <c r="R291" s="124">
        <v>0.002</v>
      </c>
      <c r="S291" s="101">
        <v>9</v>
      </c>
      <c r="T291" s="101">
        <v>2.2</v>
      </c>
    </row>
    <row r="292" spans="1:24" s="1" customFormat="1" ht="11.25" customHeight="1">
      <c r="A292" s="61" t="s">
        <v>26</v>
      </c>
      <c r="B292" s="62"/>
      <c r="C292" s="62"/>
      <c r="D292" s="65">
        <f>SUM(D286:D291)</f>
        <v>635</v>
      </c>
      <c r="E292" s="118">
        <f>SUM(E286:E291)</f>
        <v>80</v>
      </c>
      <c r="F292" s="39">
        <f>SUM(F286:F291)</f>
        <v>18.451666666666664</v>
      </c>
      <c r="G292" s="39">
        <f aca="true" t="shared" si="75" ref="G292:T292">SUM(G286:G291)</f>
        <v>24.988333333333333</v>
      </c>
      <c r="H292" s="39">
        <f t="shared" si="75"/>
        <v>113.93</v>
      </c>
      <c r="I292" s="39">
        <f t="shared" si="75"/>
        <v>754.4216666666665</v>
      </c>
      <c r="J292" s="39">
        <f t="shared" si="75"/>
        <v>0.29166666666666663</v>
      </c>
      <c r="K292" s="39">
        <f t="shared" si="75"/>
        <v>0.37333333333333335</v>
      </c>
      <c r="L292" s="39">
        <f t="shared" si="75"/>
        <v>83.94916666666667</v>
      </c>
      <c r="M292" s="39">
        <f t="shared" si="75"/>
        <v>0.13175</v>
      </c>
      <c r="N292" s="39">
        <f t="shared" si="75"/>
        <v>3.1283333333333334</v>
      </c>
      <c r="O292" s="39">
        <f t="shared" si="75"/>
        <v>465.0833333333333</v>
      </c>
      <c r="P292" s="39">
        <f t="shared" si="75"/>
        <v>432.8233333333333</v>
      </c>
      <c r="Q292" s="39">
        <f t="shared" si="75"/>
        <v>1.2486666666666666</v>
      </c>
      <c r="R292" s="39">
        <f t="shared" si="75"/>
        <v>0.05533333333333334</v>
      </c>
      <c r="S292" s="39">
        <f t="shared" si="75"/>
        <v>109.4</v>
      </c>
      <c r="T292" s="39">
        <f t="shared" si="75"/>
        <v>5.613333333333333</v>
      </c>
      <c r="U292" s="38"/>
      <c r="V292" s="106"/>
      <c r="W292" s="106"/>
      <c r="X292" s="106"/>
    </row>
    <row r="293" spans="1:24" s="1" customFormat="1" ht="11.25" customHeight="1">
      <c r="A293" s="176" t="s">
        <v>50</v>
      </c>
      <c r="B293" s="177"/>
      <c r="C293" s="177"/>
      <c r="D293" s="178"/>
      <c r="E293" s="126"/>
      <c r="F293" s="119">
        <f aca="true" t="shared" si="76" ref="F293:T293">F292/F310</f>
        <v>0.2050185185185185</v>
      </c>
      <c r="G293" s="44">
        <f t="shared" si="76"/>
        <v>0.27161231884057974</v>
      </c>
      <c r="H293" s="44">
        <f t="shared" si="76"/>
        <v>0.297467362924282</v>
      </c>
      <c r="I293" s="44">
        <f t="shared" si="76"/>
        <v>0.27736090686274506</v>
      </c>
      <c r="J293" s="44">
        <f t="shared" si="76"/>
        <v>0.20833333333333331</v>
      </c>
      <c r="K293" s="44">
        <f t="shared" si="76"/>
        <v>0.23333333333333334</v>
      </c>
      <c r="L293" s="44">
        <f t="shared" si="76"/>
        <v>1.1992738095238096</v>
      </c>
      <c r="M293" s="44">
        <f t="shared" si="76"/>
        <v>0.1463888888888889</v>
      </c>
      <c r="N293" s="44">
        <f t="shared" si="76"/>
        <v>0.26069444444444445</v>
      </c>
      <c r="O293" s="44">
        <f t="shared" si="76"/>
        <v>0.3875694444444444</v>
      </c>
      <c r="P293" s="44">
        <f t="shared" si="76"/>
        <v>0.3606861111111111</v>
      </c>
      <c r="Q293" s="44">
        <f t="shared" si="76"/>
        <v>0.08919047619047618</v>
      </c>
      <c r="R293" s="44">
        <f t="shared" si="76"/>
        <v>0.5533333333333333</v>
      </c>
      <c r="S293" s="44">
        <f t="shared" si="76"/>
        <v>0.3646666666666667</v>
      </c>
      <c r="T293" s="44">
        <f t="shared" si="76"/>
        <v>0.3118518518518518</v>
      </c>
      <c r="U293" s="108"/>
      <c r="V293" s="106"/>
      <c r="W293" s="106"/>
      <c r="X293" s="106"/>
    </row>
    <row r="294" spans="1:24" s="1" customFormat="1" ht="11.25" customHeight="1">
      <c r="A294" s="206" t="s">
        <v>27</v>
      </c>
      <c r="B294" s="207"/>
      <c r="C294" s="207"/>
      <c r="D294" s="207"/>
      <c r="E294" s="207"/>
      <c r="F294" s="207"/>
      <c r="G294" s="207"/>
      <c r="H294" s="207"/>
      <c r="I294" s="207"/>
      <c r="J294" s="207"/>
      <c r="K294" s="207"/>
      <c r="L294" s="207"/>
      <c r="M294" s="207"/>
      <c r="N294" s="207"/>
      <c r="O294" s="207"/>
      <c r="P294" s="207"/>
      <c r="Q294" s="207"/>
      <c r="R294" s="207"/>
      <c r="S294" s="207"/>
      <c r="T294" s="208"/>
      <c r="U294" s="11"/>
      <c r="V294" s="24"/>
      <c r="W294" s="24"/>
      <c r="X294" s="24"/>
    </row>
    <row r="295" spans="1:24" s="1" customFormat="1" ht="21.75" customHeight="1">
      <c r="A295" s="133">
        <v>49</v>
      </c>
      <c r="B295" s="167" t="s">
        <v>89</v>
      </c>
      <c r="C295" s="168"/>
      <c r="D295" s="109">
        <v>90</v>
      </c>
      <c r="E295" s="109">
        <v>8.9</v>
      </c>
      <c r="F295" s="112">
        <v>1.56</v>
      </c>
      <c r="G295" s="112">
        <v>12.03</v>
      </c>
      <c r="H295" s="112">
        <v>8.78</v>
      </c>
      <c r="I295" s="112">
        <v>149.7</v>
      </c>
      <c r="J295" s="113">
        <v>0.05</v>
      </c>
      <c r="K295" s="113">
        <v>0.05</v>
      </c>
      <c r="L295" s="112">
        <v>20.66</v>
      </c>
      <c r="M295" s="112">
        <v>0.002</v>
      </c>
      <c r="N295" s="109">
        <v>2.5</v>
      </c>
      <c r="O295" s="110">
        <v>32.83</v>
      </c>
      <c r="P295" s="110">
        <v>33.85</v>
      </c>
      <c r="Q295" s="112">
        <v>0.5</v>
      </c>
      <c r="R295" s="113">
        <v>0.002</v>
      </c>
      <c r="S295" s="112">
        <v>16.63</v>
      </c>
      <c r="T295" s="112">
        <v>0.56</v>
      </c>
      <c r="U295" s="114"/>
      <c r="V295" s="115"/>
      <c r="W295" s="115"/>
      <c r="X295" s="115"/>
    </row>
    <row r="296" spans="1:24" s="104" customFormat="1" ht="12.75" customHeight="1">
      <c r="A296" s="133">
        <v>84</v>
      </c>
      <c r="B296" s="167" t="s">
        <v>64</v>
      </c>
      <c r="C296" s="168"/>
      <c r="D296" s="109">
        <v>250</v>
      </c>
      <c r="E296" s="112">
        <v>13.61</v>
      </c>
      <c r="F296" s="112">
        <f>1.77*D296/200</f>
        <v>2.2125</v>
      </c>
      <c r="G296" s="112">
        <f>2.65*D296/200</f>
        <v>3.3125</v>
      </c>
      <c r="H296" s="112">
        <f>12.74*D296/200</f>
        <v>15.925</v>
      </c>
      <c r="I296" s="112">
        <f aca="true" t="shared" si="77" ref="I296:I301">F296*4+G296*9+H296*4</f>
        <v>102.36250000000001</v>
      </c>
      <c r="J296" s="113">
        <f>0.05*D296/200</f>
        <v>0.0625</v>
      </c>
      <c r="K296" s="113">
        <f>0.05*D296/200</f>
        <v>0.0625</v>
      </c>
      <c r="L296" s="112">
        <f>19*D296/200</f>
        <v>23.75</v>
      </c>
      <c r="M296" s="112">
        <f>0.74*D296/200</f>
        <v>0.925</v>
      </c>
      <c r="N296" s="109">
        <f>0.1*D296/200</f>
        <v>0.125</v>
      </c>
      <c r="O296" s="112">
        <f>43.11*D296/200</f>
        <v>53.8875</v>
      </c>
      <c r="P296" s="112">
        <f>48.75*D296/200</f>
        <v>60.9375</v>
      </c>
      <c r="Q296" s="113">
        <f>1.3*D296/200</f>
        <v>1.625</v>
      </c>
      <c r="R296" s="113">
        <f>0.0032*D296/200</f>
        <v>0.004</v>
      </c>
      <c r="S296" s="112">
        <f>22.44*D296/200</f>
        <v>28.05</v>
      </c>
      <c r="T296" s="112">
        <f>0.8*D296/200</f>
        <v>1</v>
      </c>
      <c r="U296" s="114"/>
      <c r="V296" s="115"/>
      <c r="W296" s="115"/>
      <c r="X296" s="115"/>
    </row>
    <row r="297" spans="1:24" s="104" customFormat="1" ht="23.25" customHeight="1">
      <c r="A297" s="133">
        <v>266</v>
      </c>
      <c r="B297" s="167" t="s">
        <v>70</v>
      </c>
      <c r="C297" s="168"/>
      <c r="D297" s="111">
        <v>100</v>
      </c>
      <c r="E297" s="112">
        <v>44.81</v>
      </c>
      <c r="F297" s="112">
        <v>16.68</v>
      </c>
      <c r="G297" s="112">
        <v>23.27</v>
      </c>
      <c r="H297" s="112">
        <v>4.28</v>
      </c>
      <c r="I297" s="112">
        <v>293</v>
      </c>
      <c r="J297" s="112">
        <v>0.203</v>
      </c>
      <c r="K297" s="112">
        <v>0.23</v>
      </c>
      <c r="L297" s="112">
        <v>0.48</v>
      </c>
      <c r="M297" s="112">
        <f>0.04*D297/80</f>
        <v>0.05</v>
      </c>
      <c r="N297" s="109">
        <v>0.068</v>
      </c>
      <c r="O297" s="110">
        <v>54.5</v>
      </c>
      <c r="P297" s="110">
        <v>200.14</v>
      </c>
      <c r="Q297" s="112">
        <v>2.56</v>
      </c>
      <c r="R297" s="113">
        <f>0.04*D297/80</f>
        <v>0.05</v>
      </c>
      <c r="S297" s="110">
        <v>27.5</v>
      </c>
      <c r="T297" s="112">
        <v>2.17</v>
      </c>
      <c r="U297" s="114"/>
      <c r="V297" s="115"/>
      <c r="W297" s="115"/>
      <c r="X297" s="115"/>
    </row>
    <row r="298" spans="1:24" s="104" customFormat="1" ht="15.75" customHeight="1">
      <c r="A298" s="162">
        <v>139</v>
      </c>
      <c r="B298" s="221" t="s">
        <v>80</v>
      </c>
      <c r="C298" s="221"/>
      <c r="D298" s="163">
        <v>200</v>
      </c>
      <c r="E298" s="164">
        <v>12.81</v>
      </c>
      <c r="F298" s="164">
        <v>2.75</v>
      </c>
      <c r="G298" s="164">
        <v>13.2</v>
      </c>
      <c r="H298" s="164">
        <v>17.33</v>
      </c>
      <c r="I298" s="164">
        <v>199.2</v>
      </c>
      <c r="J298" s="164">
        <v>0.08</v>
      </c>
      <c r="K298" s="164">
        <v>0</v>
      </c>
      <c r="L298" s="164">
        <v>10.4</v>
      </c>
      <c r="M298" s="164">
        <v>37.2</v>
      </c>
      <c r="N298" s="164">
        <v>0</v>
      </c>
      <c r="O298" s="164">
        <v>28.68</v>
      </c>
      <c r="P298" s="164">
        <v>74.16</v>
      </c>
      <c r="Q298" s="164">
        <v>0</v>
      </c>
      <c r="R298" s="164">
        <v>0</v>
      </c>
      <c r="S298" s="164">
        <v>33.36</v>
      </c>
      <c r="T298" s="164">
        <v>1.18</v>
      </c>
      <c r="U298" s="114"/>
      <c r="V298" s="115"/>
      <c r="W298" s="115"/>
      <c r="X298" s="115"/>
    </row>
    <row r="299" spans="1:24" s="104" customFormat="1" ht="21.75" customHeight="1">
      <c r="A299" s="117">
        <v>349</v>
      </c>
      <c r="B299" s="167" t="s">
        <v>75</v>
      </c>
      <c r="C299" s="168"/>
      <c r="D299" s="111">
        <v>200</v>
      </c>
      <c r="E299" s="112">
        <v>4.73</v>
      </c>
      <c r="F299" s="112">
        <v>0.22</v>
      </c>
      <c r="G299" s="109"/>
      <c r="H299" s="112">
        <v>24.42</v>
      </c>
      <c r="I299" s="112">
        <f t="shared" si="77"/>
        <v>98.56</v>
      </c>
      <c r="J299" s="109"/>
      <c r="K299" s="109"/>
      <c r="L299" s="112">
        <v>26.11</v>
      </c>
      <c r="M299" s="109"/>
      <c r="N299" s="109"/>
      <c r="O299" s="110">
        <v>22.6</v>
      </c>
      <c r="P299" s="110">
        <v>7.7</v>
      </c>
      <c r="Q299" s="111">
        <v>0</v>
      </c>
      <c r="R299" s="111">
        <v>0</v>
      </c>
      <c r="S299" s="110">
        <v>3</v>
      </c>
      <c r="T299" s="112">
        <v>0.66</v>
      </c>
      <c r="U299" s="114"/>
      <c r="V299" s="115"/>
      <c r="W299" s="115"/>
      <c r="X299" s="115"/>
    </row>
    <row r="300" spans="1:24" s="104" customFormat="1" ht="11.25" customHeight="1">
      <c r="A300" s="72" t="s">
        <v>54</v>
      </c>
      <c r="B300" s="167" t="s">
        <v>35</v>
      </c>
      <c r="C300" s="168"/>
      <c r="D300" s="111">
        <v>40</v>
      </c>
      <c r="E300" s="112">
        <v>3.1</v>
      </c>
      <c r="F300" s="112">
        <f>2.64*D300/40</f>
        <v>2.64</v>
      </c>
      <c r="G300" s="112">
        <f>0.48*D300/40</f>
        <v>0.48</v>
      </c>
      <c r="H300" s="112">
        <f>13.68*D300/40</f>
        <v>13.680000000000001</v>
      </c>
      <c r="I300" s="110">
        <f t="shared" si="77"/>
        <v>69.60000000000001</v>
      </c>
      <c r="J300" s="109">
        <f>0.08*D300/40</f>
        <v>0.08</v>
      </c>
      <c r="K300" s="112">
        <f>0.04*D300/40</f>
        <v>0.04</v>
      </c>
      <c r="L300" s="111">
        <v>0</v>
      </c>
      <c r="M300" s="111">
        <v>0</v>
      </c>
      <c r="N300" s="112">
        <f>2.4*D300/40</f>
        <v>2.4</v>
      </c>
      <c r="O300" s="112">
        <f>14*D300/40</f>
        <v>14</v>
      </c>
      <c r="P300" s="112">
        <f>63.2*D300/40</f>
        <v>63.2</v>
      </c>
      <c r="Q300" s="112">
        <f>1.2*D300/40</f>
        <v>1.2</v>
      </c>
      <c r="R300" s="113">
        <f>0.001*D300/40</f>
        <v>0.001</v>
      </c>
      <c r="S300" s="112">
        <f>9.4*D300/40</f>
        <v>9.4</v>
      </c>
      <c r="T300" s="109">
        <f>0.78*D300/40</f>
        <v>0.78</v>
      </c>
      <c r="U300" s="30"/>
      <c r="V300" s="31"/>
      <c r="W300" s="31"/>
      <c r="X300" s="31"/>
    </row>
    <row r="301" spans="1:24" s="104" customFormat="1" ht="11.25" customHeight="1">
      <c r="A301" s="117" t="s">
        <v>54</v>
      </c>
      <c r="B301" s="167" t="s">
        <v>40</v>
      </c>
      <c r="C301" s="168"/>
      <c r="D301" s="111">
        <v>40</v>
      </c>
      <c r="E301" s="112">
        <v>2.04</v>
      </c>
      <c r="F301" s="112">
        <f>1.52*D301/30</f>
        <v>2.0266666666666664</v>
      </c>
      <c r="G301" s="113">
        <f>0.16*D301/30</f>
        <v>0.21333333333333335</v>
      </c>
      <c r="H301" s="113">
        <f>9.84*D301/30</f>
        <v>13.120000000000001</v>
      </c>
      <c r="I301" s="113">
        <f t="shared" si="77"/>
        <v>62.50666666666667</v>
      </c>
      <c r="J301" s="113">
        <f>0.02*D301/30</f>
        <v>0.02666666666666667</v>
      </c>
      <c r="K301" s="113">
        <f>0.01*D301/30</f>
        <v>0.013333333333333334</v>
      </c>
      <c r="L301" s="113">
        <f>0.44*D301/30</f>
        <v>0.5866666666666667</v>
      </c>
      <c r="M301" s="113">
        <v>0</v>
      </c>
      <c r="N301" s="113">
        <f>0.7*D301/30</f>
        <v>0.9333333333333333</v>
      </c>
      <c r="O301" s="113">
        <f>4*D301/30</f>
        <v>5.333333333333333</v>
      </c>
      <c r="P301" s="113">
        <f>13*D301/30</f>
        <v>17.333333333333332</v>
      </c>
      <c r="Q301" s="113">
        <f>0.008*D301/30</f>
        <v>0.010666666666666666</v>
      </c>
      <c r="R301" s="113">
        <f>0.001*D301/30</f>
        <v>0.0013333333333333333</v>
      </c>
      <c r="S301" s="113">
        <v>0</v>
      </c>
      <c r="T301" s="113">
        <f>0.22*D301/30</f>
        <v>0.29333333333333333</v>
      </c>
      <c r="U301" s="114"/>
      <c r="V301" s="115"/>
      <c r="W301" s="115"/>
      <c r="X301" s="115"/>
    </row>
    <row r="302" spans="1:24" s="104" customFormat="1" ht="11.25" customHeight="1">
      <c r="A302" s="61" t="s">
        <v>28</v>
      </c>
      <c r="B302" s="62"/>
      <c r="C302" s="62"/>
      <c r="D302" s="65">
        <f aca="true" t="shared" si="78" ref="D302:I302">SUM(D295:D301)</f>
        <v>920</v>
      </c>
      <c r="E302" s="118">
        <f t="shared" si="78"/>
        <v>90</v>
      </c>
      <c r="F302" s="39">
        <f t="shared" si="78"/>
        <v>28.089166666666667</v>
      </c>
      <c r="G302" s="38">
        <f t="shared" si="78"/>
        <v>52.50583333333333</v>
      </c>
      <c r="H302" s="38">
        <f t="shared" si="78"/>
        <v>97.53500000000001</v>
      </c>
      <c r="I302" s="38">
        <f t="shared" si="78"/>
        <v>974.9291666666667</v>
      </c>
      <c r="J302" s="39">
        <f aca="true" t="shared" si="79" ref="J302:T302">SUM(J295:J301)</f>
        <v>0.5021666666666667</v>
      </c>
      <c r="K302" s="39">
        <f t="shared" si="79"/>
        <v>0.3958333333333333</v>
      </c>
      <c r="L302" s="38">
        <f t="shared" si="79"/>
        <v>81.98666666666666</v>
      </c>
      <c r="M302" s="39">
        <f t="shared" si="79"/>
        <v>38.177</v>
      </c>
      <c r="N302" s="43">
        <f t="shared" si="79"/>
        <v>6.0263333333333335</v>
      </c>
      <c r="O302" s="38">
        <f t="shared" si="79"/>
        <v>211.83083333333335</v>
      </c>
      <c r="P302" s="38">
        <f t="shared" si="79"/>
        <v>457.32083333333327</v>
      </c>
      <c r="Q302" s="39">
        <f t="shared" si="79"/>
        <v>5.895666666666667</v>
      </c>
      <c r="R302" s="39">
        <f t="shared" si="79"/>
        <v>0.058333333333333334</v>
      </c>
      <c r="S302" s="38">
        <f t="shared" si="79"/>
        <v>117.94000000000001</v>
      </c>
      <c r="T302" s="39">
        <f t="shared" si="79"/>
        <v>6.6433333333333335</v>
      </c>
      <c r="U302" s="38"/>
      <c r="V302" s="106"/>
      <c r="W302" s="106"/>
      <c r="X302" s="106"/>
    </row>
    <row r="303" spans="1:24" s="104" customFormat="1" ht="11.25" customHeight="1">
      <c r="A303" s="176" t="s">
        <v>50</v>
      </c>
      <c r="B303" s="177"/>
      <c r="C303" s="177"/>
      <c r="D303" s="178"/>
      <c r="E303" s="126"/>
      <c r="F303" s="119">
        <f aca="true" t="shared" si="80" ref="F303:T303">F302/F310</f>
        <v>0.31210185185185185</v>
      </c>
      <c r="G303" s="44">
        <f t="shared" si="80"/>
        <v>0.5707155797101449</v>
      </c>
      <c r="H303" s="44">
        <f t="shared" si="80"/>
        <v>0.25466057441253265</v>
      </c>
      <c r="I303" s="44">
        <f t="shared" si="80"/>
        <v>0.35842984068627454</v>
      </c>
      <c r="J303" s="44">
        <f t="shared" si="80"/>
        <v>0.3586904761904762</v>
      </c>
      <c r="K303" s="44">
        <f t="shared" si="80"/>
        <v>0.24739583333333331</v>
      </c>
      <c r="L303" s="44">
        <f t="shared" si="80"/>
        <v>1.1712380952380952</v>
      </c>
      <c r="M303" s="44">
        <f t="shared" si="80"/>
        <v>42.41888888888889</v>
      </c>
      <c r="N303" s="44">
        <f t="shared" si="80"/>
        <v>0.5021944444444445</v>
      </c>
      <c r="O303" s="44">
        <f t="shared" si="80"/>
        <v>0.17652569444444446</v>
      </c>
      <c r="P303" s="44">
        <f t="shared" si="80"/>
        <v>0.3811006944444444</v>
      </c>
      <c r="Q303" s="44">
        <f t="shared" si="80"/>
        <v>0.42111904761904767</v>
      </c>
      <c r="R303" s="44">
        <f t="shared" si="80"/>
        <v>0.5833333333333333</v>
      </c>
      <c r="S303" s="44">
        <f t="shared" si="80"/>
        <v>0.3931333333333334</v>
      </c>
      <c r="T303" s="44">
        <f t="shared" si="80"/>
        <v>0.3690740740740741</v>
      </c>
      <c r="U303" s="108"/>
      <c r="V303" s="106"/>
      <c r="W303" s="106"/>
      <c r="X303" s="106"/>
    </row>
    <row r="304" spans="1:24" s="104" customFormat="1" ht="11.25" customHeight="1">
      <c r="A304" s="206" t="s">
        <v>29</v>
      </c>
      <c r="B304" s="207"/>
      <c r="C304" s="207"/>
      <c r="D304" s="207"/>
      <c r="E304" s="207"/>
      <c r="F304" s="207"/>
      <c r="G304" s="207"/>
      <c r="H304" s="207"/>
      <c r="I304" s="207"/>
      <c r="J304" s="207"/>
      <c r="K304" s="207"/>
      <c r="L304" s="207"/>
      <c r="M304" s="207"/>
      <c r="N304" s="207"/>
      <c r="O304" s="207"/>
      <c r="P304" s="207"/>
      <c r="Q304" s="207"/>
      <c r="R304" s="207"/>
      <c r="S304" s="207"/>
      <c r="T304" s="208"/>
      <c r="U304" s="11"/>
      <c r="V304" s="24"/>
      <c r="W304" s="24"/>
      <c r="X304" s="24"/>
    </row>
    <row r="305" spans="1:24" s="100" customFormat="1" ht="21.75" customHeight="1">
      <c r="A305" s="149"/>
      <c r="B305" s="187"/>
      <c r="C305" s="187"/>
      <c r="D305" s="151"/>
      <c r="E305" s="101"/>
      <c r="F305" s="101"/>
      <c r="G305" s="152"/>
      <c r="H305" s="152"/>
      <c r="I305" s="152"/>
      <c r="J305" s="101"/>
      <c r="K305" s="101"/>
      <c r="L305" s="101"/>
      <c r="M305" s="101"/>
      <c r="N305" s="151"/>
      <c r="O305" s="101"/>
      <c r="P305" s="101"/>
      <c r="Q305" s="152"/>
      <c r="R305" s="101"/>
      <c r="S305" s="152"/>
      <c r="T305" s="101"/>
      <c r="V305" s="222" t="s">
        <v>56</v>
      </c>
      <c r="W305" s="222" t="s">
        <v>57</v>
      </c>
      <c r="X305" s="222" t="s">
        <v>58</v>
      </c>
    </row>
    <row r="306" spans="1:24" s="100" customFormat="1" ht="11.25" customHeight="1">
      <c r="A306" s="153"/>
      <c r="B306" s="212"/>
      <c r="C306" s="212"/>
      <c r="D306" s="154"/>
      <c r="E306" s="155"/>
      <c r="F306" s="142"/>
      <c r="G306" s="142"/>
      <c r="H306" s="142"/>
      <c r="I306" s="142"/>
      <c r="J306" s="142"/>
      <c r="K306" s="142"/>
      <c r="L306" s="142"/>
      <c r="M306" s="142"/>
      <c r="N306" s="142"/>
      <c r="O306" s="142"/>
      <c r="P306" s="142"/>
      <c r="Q306" s="142"/>
      <c r="R306" s="142"/>
      <c r="S306" s="142"/>
      <c r="T306" s="142"/>
      <c r="V306" s="222"/>
      <c r="W306" s="222"/>
      <c r="X306" s="222"/>
    </row>
    <row r="307" spans="1:24" s="1" customFormat="1" ht="11.25" customHeight="1">
      <c r="A307" s="61" t="s">
        <v>30</v>
      </c>
      <c r="B307" s="62"/>
      <c r="C307" s="62"/>
      <c r="D307" s="65">
        <f aca="true" t="shared" si="81" ref="D307:T307">SUM(D305:D306)</f>
        <v>0</v>
      </c>
      <c r="E307" s="118">
        <f t="shared" si="81"/>
        <v>0</v>
      </c>
      <c r="F307" s="118">
        <f t="shared" si="81"/>
        <v>0</v>
      </c>
      <c r="G307" s="118">
        <f t="shared" si="81"/>
        <v>0</v>
      </c>
      <c r="H307" s="118">
        <f t="shared" si="81"/>
        <v>0</v>
      </c>
      <c r="I307" s="118">
        <f t="shared" si="81"/>
        <v>0</v>
      </c>
      <c r="J307" s="118">
        <f t="shared" si="81"/>
        <v>0</v>
      </c>
      <c r="K307" s="118">
        <f t="shared" si="81"/>
        <v>0</v>
      </c>
      <c r="L307" s="118">
        <f t="shared" si="81"/>
        <v>0</v>
      </c>
      <c r="M307" s="118">
        <f t="shared" si="81"/>
        <v>0</v>
      </c>
      <c r="N307" s="118">
        <f t="shared" si="81"/>
        <v>0</v>
      </c>
      <c r="O307" s="118">
        <f t="shared" si="81"/>
        <v>0</v>
      </c>
      <c r="P307" s="118">
        <f t="shared" si="81"/>
        <v>0</v>
      </c>
      <c r="Q307" s="118">
        <f t="shared" si="81"/>
        <v>0</v>
      </c>
      <c r="R307" s="118">
        <f t="shared" si="81"/>
        <v>0</v>
      </c>
      <c r="S307" s="118">
        <f t="shared" si="81"/>
        <v>0</v>
      </c>
      <c r="T307" s="118">
        <f t="shared" si="81"/>
        <v>0</v>
      </c>
      <c r="U307" s="38"/>
      <c r="V307" s="222"/>
      <c r="W307" s="222"/>
      <c r="X307" s="222"/>
    </row>
    <row r="308" spans="1:24" s="1" customFormat="1" ht="11.25" customHeight="1">
      <c r="A308" s="176" t="s">
        <v>50</v>
      </c>
      <c r="B308" s="177"/>
      <c r="C308" s="177"/>
      <c r="D308" s="178"/>
      <c r="E308" s="127"/>
      <c r="F308" s="71">
        <f>F307/F310</f>
        <v>0</v>
      </c>
      <c r="G308" s="44">
        <f aca="true" t="shared" si="82" ref="G308:T308">G307/G310</f>
        <v>0</v>
      </c>
      <c r="H308" s="44">
        <f t="shared" si="82"/>
        <v>0</v>
      </c>
      <c r="I308" s="44">
        <f t="shared" si="82"/>
        <v>0</v>
      </c>
      <c r="J308" s="44">
        <f t="shared" si="82"/>
        <v>0</v>
      </c>
      <c r="K308" s="44">
        <f t="shared" si="82"/>
        <v>0</v>
      </c>
      <c r="L308" s="44">
        <f t="shared" si="82"/>
        <v>0</v>
      </c>
      <c r="M308" s="44">
        <f t="shared" si="82"/>
        <v>0</v>
      </c>
      <c r="N308" s="44">
        <f t="shared" si="82"/>
        <v>0</v>
      </c>
      <c r="O308" s="44">
        <f t="shared" si="82"/>
        <v>0</v>
      </c>
      <c r="P308" s="44">
        <f t="shared" si="82"/>
        <v>0</v>
      </c>
      <c r="Q308" s="44">
        <f t="shared" si="82"/>
        <v>0</v>
      </c>
      <c r="R308" s="44">
        <f t="shared" si="82"/>
        <v>0</v>
      </c>
      <c r="S308" s="44">
        <f t="shared" si="82"/>
        <v>0</v>
      </c>
      <c r="T308" s="44">
        <f t="shared" si="82"/>
        <v>0</v>
      </c>
      <c r="U308" s="108"/>
      <c r="V308" s="121"/>
      <c r="W308" s="121"/>
      <c r="X308" s="121"/>
    </row>
    <row r="309" spans="1:24" s="1" customFormat="1" ht="11.25" customHeight="1">
      <c r="A309" s="169" t="s">
        <v>49</v>
      </c>
      <c r="B309" s="170"/>
      <c r="C309" s="170"/>
      <c r="D309" s="171"/>
      <c r="E309" s="132"/>
      <c r="F309" s="39">
        <f aca="true" t="shared" si="83" ref="F309:T309">SUM(F292,F302,F307)</f>
        <v>46.54083333333333</v>
      </c>
      <c r="G309" s="38">
        <f t="shared" si="83"/>
        <v>77.49416666666666</v>
      </c>
      <c r="H309" s="38">
        <f t="shared" si="83"/>
        <v>211.46500000000003</v>
      </c>
      <c r="I309" s="38">
        <f t="shared" si="83"/>
        <v>1729.3508333333332</v>
      </c>
      <c r="J309" s="39">
        <f t="shared" si="83"/>
        <v>0.7938333333333333</v>
      </c>
      <c r="K309" s="39">
        <f t="shared" si="83"/>
        <v>0.7691666666666667</v>
      </c>
      <c r="L309" s="38">
        <f t="shared" si="83"/>
        <v>165.93583333333333</v>
      </c>
      <c r="M309" s="39">
        <f t="shared" si="83"/>
        <v>38.308749999999996</v>
      </c>
      <c r="N309" s="39">
        <f t="shared" si="83"/>
        <v>9.154666666666667</v>
      </c>
      <c r="O309" s="38">
        <f t="shared" si="83"/>
        <v>676.9141666666667</v>
      </c>
      <c r="P309" s="38">
        <f t="shared" si="83"/>
        <v>890.1441666666666</v>
      </c>
      <c r="Q309" s="39">
        <f t="shared" si="83"/>
        <v>7.144333333333334</v>
      </c>
      <c r="R309" s="40">
        <f t="shared" si="83"/>
        <v>0.11366666666666667</v>
      </c>
      <c r="S309" s="39">
        <f t="shared" si="83"/>
        <v>227.34000000000003</v>
      </c>
      <c r="T309" s="39">
        <f t="shared" si="83"/>
        <v>12.256666666666668</v>
      </c>
      <c r="U309" s="42"/>
      <c r="V309" s="71">
        <f>AVERAGE(I293,I326,I360,I399,I435)</f>
        <v>0.27735998774509796</v>
      </c>
      <c r="W309" s="71">
        <f>AVERAGE(I303,I336,I372,I410,I447)</f>
        <v>516.8245482536764</v>
      </c>
      <c r="X309" s="71">
        <f>AVERAGE(I308,I342,I379,I416,I453)</f>
        <v>0</v>
      </c>
    </row>
    <row r="310" spans="1:24" s="1" customFormat="1" ht="11.25" customHeight="1">
      <c r="A310" s="169" t="s">
        <v>51</v>
      </c>
      <c r="B310" s="170"/>
      <c r="C310" s="170"/>
      <c r="D310" s="171"/>
      <c r="E310" s="132"/>
      <c r="F310" s="112">
        <v>90</v>
      </c>
      <c r="G310" s="110">
        <v>92</v>
      </c>
      <c r="H310" s="110">
        <v>383</v>
      </c>
      <c r="I310" s="110">
        <v>2720</v>
      </c>
      <c r="J310" s="112">
        <v>1.4</v>
      </c>
      <c r="K310" s="112">
        <v>1.6</v>
      </c>
      <c r="L310" s="111">
        <v>70</v>
      </c>
      <c r="M310" s="112">
        <v>0.9</v>
      </c>
      <c r="N310" s="111">
        <v>12</v>
      </c>
      <c r="O310" s="111">
        <v>1200</v>
      </c>
      <c r="P310" s="111">
        <v>1200</v>
      </c>
      <c r="Q310" s="111">
        <v>14</v>
      </c>
      <c r="R310" s="110">
        <v>0.1</v>
      </c>
      <c r="S310" s="111">
        <v>300</v>
      </c>
      <c r="T310" s="112">
        <v>18</v>
      </c>
      <c r="U310" s="114"/>
      <c r="V310" s="115"/>
      <c r="W310" s="115"/>
      <c r="X310" s="115"/>
    </row>
    <row r="311" spans="1:24" s="1" customFormat="1" ht="11.25" customHeight="1">
      <c r="A311" s="176" t="s">
        <v>50</v>
      </c>
      <c r="B311" s="177"/>
      <c r="C311" s="177"/>
      <c r="D311" s="178"/>
      <c r="E311" s="127"/>
      <c r="F311" s="71">
        <f aca="true" t="shared" si="84" ref="F311:T311">F309/F310</f>
        <v>0.5171203703703704</v>
      </c>
      <c r="G311" s="44">
        <f t="shared" si="84"/>
        <v>0.8423278985507245</v>
      </c>
      <c r="H311" s="44">
        <f t="shared" si="84"/>
        <v>0.5521279373368148</v>
      </c>
      <c r="I311" s="44">
        <f t="shared" si="84"/>
        <v>0.6357907475490195</v>
      </c>
      <c r="J311" s="44">
        <f t="shared" si="84"/>
        <v>0.5670238095238095</v>
      </c>
      <c r="K311" s="44">
        <f t="shared" si="84"/>
        <v>0.48072916666666665</v>
      </c>
      <c r="L311" s="44">
        <f t="shared" si="84"/>
        <v>2.370511904761905</v>
      </c>
      <c r="M311" s="45">
        <f>M309/M310</f>
        <v>42.56527777777777</v>
      </c>
      <c r="N311" s="44">
        <f t="shared" si="84"/>
        <v>0.762888888888889</v>
      </c>
      <c r="O311" s="44">
        <f t="shared" si="84"/>
        <v>0.564095138888889</v>
      </c>
      <c r="P311" s="44">
        <f t="shared" si="84"/>
        <v>0.7417868055555555</v>
      </c>
      <c r="Q311" s="44">
        <f t="shared" si="84"/>
        <v>0.5103095238095239</v>
      </c>
      <c r="R311" s="45">
        <f t="shared" si="84"/>
        <v>1.1366666666666665</v>
      </c>
      <c r="S311" s="44">
        <f t="shared" si="84"/>
        <v>0.7578000000000001</v>
      </c>
      <c r="T311" s="45">
        <f t="shared" si="84"/>
        <v>0.6809259259259259</v>
      </c>
      <c r="U311" s="46"/>
      <c r="V311" s="47"/>
      <c r="W311" s="47"/>
      <c r="X311" s="47"/>
    </row>
    <row r="312" spans="1:24" s="1" customFormat="1" ht="11.25" customHeight="1">
      <c r="A312" s="188"/>
      <c r="B312" s="188"/>
      <c r="C312" s="188"/>
      <c r="D312" s="188"/>
      <c r="E312" s="188"/>
      <c r="F312" s="188"/>
      <c r="G312" s="188"/>
      <c r="H312" s="188"/>
      <c r="I312" s="188"/>
      <c r="J312" s="188"/>
      <c r="K312" s="188"/>
      <c r="L312" s="188"/>
      <c r="M312" s="188"/>
      <c r="N312" s="188"/>
      <c r="O312" s="188"/>
      <c r="P312" s="188"/>
      <c r="Q312" s="188"/>
      <c r="R312" s="188"/>
      <c r="S312" s="188"/>
      <c r="T312" s="188"/>
      <c r="U312" s="13"/>
      <c r="V312" s="25"/>
      <c r="W312" s="25"/>
      <c r="X312" s="25"/>
    </row>
    <row r="313" spans="1:24" s="1" customFormat="1" ht="11.25" customHeight="1">
      <c r="A313" s="58" t="s">
        <v>42</v>
      </c>
      <c r="B313" s="54"/>
      <c r="C313" s="54"/>
      <c r="D313" s="2"/>
      <c r="E313" s="2"/>
      <c r="F313" s="105"/>
      <c r="G313" s="197" t="s">
        <v>34</v>
      </c>
      <c r="H313" s="197"/>
      <c r="I313" s="197"/>
      <c r="J313" s="104"/>
      <c r="K313" s="104"/>
      <c r="L313" s="193" t="s">
        <v>1</v>
      </c>
      <c r="M313" s="193"/>
      <c r="N313" s="189"/>
      <c r="O313" s="189"/>
      <c r="P313" s="189"/>
      <c r="Q313" s="189"/>
      <c r="R313" s="104"/>
      <c r="S313" s="104"/>
      <c r="T313" s="104"/>
      <c r="U313" s="14"/>
      <c r="V313" s="20"/>
      <c r="W313" s="20"/>
      <c r="X313" s="20"/>
    </row>
    <row r="314" spans="1:24" s="1" customFormat="1" ht="11.25" customHeight="1">
      <c r="A314" s="54"/>
      <c r="B314" s="54"/>
      <c r="C314" s="54"/>
      <c r="D314" s="193" t="s">
        <v>2</v>
      </c>
      <c r="E314" s="193"/>
      <c r="F314" s="193"/>
      <c r="G314" s="7">
        <v>2</v>
      </c>
      <c r="H314" s="104"/>
      <c r="I314" s="2"/>
      <c r="J314" s="2"/>
      <c r="K314" s="2"/>
      <c r="L314" s="193" t="s">
        <v>3</v>
      </c>
      <c r="M314" s="193"/>
      <c r="N314" s="197" t="s">
        <v>44</v>
      </c>
      <c r="O314" s="197"/>
      <c r="P314" s="197"/>
      <c r="Q314" s="197"/>
      <c r="R314" s="197"/>
      <c r="S314" s="197"/>
      <c r="T314" s="197"/>
      <c r="U314" s="15"/>
      <c r="V314" s="21"/>
      <c r="W314" s="21"/>
      <c r="X314" s="21"/>
    </row>
    <row r="315" spans="1:24" s="1" customFormat="1" ht="21.75" customHeight="1">
      <c r="A315" s="190" t="s">
        <v>4</v>
      </c>
      <c r="B315" s="190" t="s">
        <v>5</v>
      </c>
      <c r="C315" s="190"/>
      <c r="D315" s="190" t="s">
        <v>6</v>
      </c>
      <c r="E315" s="131"/>
      <c r="F315" s="183" t="s">
        <v>7</v>
      </c>
      <c r="G315" s="184"/>
      <c r="H315" s="185"/>
      <c r="I315" s="190" t="s">
        <v>8</v>
      </c>
      <c r="J315" s="216" t="s">
        <v>9</v>
      </c>
      <c r="K315" s="216"/>
      <c r="L315" s="216"/>
      <c r="M315" s="216"/>
      <c r="N315" s="216"/>
      <c r="O315" s="216" t="s">
        <v>10</v>
      </c>
      <c r="P315" s="216"/>
      <c r="Q315" s="216"/>
      <c r="R315" s="216"/>
      <c r="S315" s="216"/>
      <c r="T315" s="216"/>
      <c r="U315" s="9"/>
      <c r="V315" s="22"/>
      <c r="W315" s="22"/>
      <c r="X315" s="22"/>
    </row>
    <row r="316" spans="1:24" s="1" customFormat="1" ht="21" customHeight="1">
      <c r="A316" s="191"/>
      <c r="B316" s="200"/>
      <c r="C316" s="201"/>
      <c r="D316" s="191"/>
      <c r="E316" s="130"/>
      <c r="F316" s="82" t="s">
        <v>11</v>
      </c>
      <c r="G316" s="134" t="s">
        <v>12</v>
      </c>
      <c r="H316" s="134" t="s">
        <v>13</v>
      </c>
      <c r="I316" s="191"/>
      <c r="J316" s="134" t="s">
        <v>14</v>
      </c>
      <c r="K316" s="134" t="s">
        <v>45</v>
      </c>
      <c r="L316" s="134" t="s">
        <v>15</v>
      </c>
      <c r="M316" s="134" t="s">
        <v>16</v>
      </c>
      <c r="N316" s="134" t="s">
        <v>17</v>
      </c>
      <c r="O316" s="134" t="s">
        <v>18</v>
      </c>
      <c r="P316" s="134" t="s">
        <v>19</v>
      </c>
      <c r="Q316" s="134" t="s">
        <v>46</v>
      </c>
      <c r="R316" s="134" t="s">
        <v>47</v>
      </c>
      <c r="S316" s="134" t="s">
        <v>20</v>
      </c>
      <c r="T316" s="134" t="s">
        <v>21</v>
      </c>
      <c r="U316" s="9"/>
      <c r="V316" s="22"/>
      <c r="W316" s="22"/>
      <c r="X316" s="22"/>
    </row>
    <row r="317" spans="1:24" s="1" customFormat="1" ht="11.25" customHeight="1">
      <c r="A317" s="133">
        <v>1</v>
      </c>
      <c r="B317" s="218">
        <v>2</v>
      </c>
      <c r="C317" s="218"/>
      <c r="D317" s="37">
        <v>3</v>
      </c>
      <c r="E317" s="37"/>
      <c r="F317" s="37">
        <v>4</v>
      </c>
      <c r="G317" s="37">
        <v>5</v>
      </c>
      <c r="H317" s="37">
        <v>6</v>
      </c>
      <c r="I317" s="37">
        <v>7</v>
      </c>
      <c r="J317" s="37">
        <v>8</v>
      </c>
      <c r="K317" s="37">
        <v>9</v>
      </c>
      <c r="L317" s="37">
        <v>10</v>
      </c>
      <c r="M317" s="37">
        <v>11</v>
      </c>
      <c r="N317" s="37">
        <v>12</v>
      </c>
      <c r="O317" s="37">
        <v>13</v>
      </c>
      <c r="P317" s="37">
        <v>14</v>
      </c>
      <c r="Q317" s="37">
        <v>15</v>
      </c>
      <c r="R317" s="37">
        <v>16</v>
      </c>
      <c r="S317" s="37">
        <v>17</v>
      </c>
      <c r="T317" s="37">
        <v>18</v>
      </c>
      <c r="U317" s="10"/>
      <c r="V317" s="23"/>
      <c r="W317" s="23"/>
      <c r="X317" s="23"/>
    </row>
    <row r="318" spans="1:24" s="1" customFormat="1" ht="11.25" customHeight="1">
      <c r="A318" s="206" t="s">
        <v>25</v>
      </c>
      <c r="B318" s="207"/>
      <c r="C318" s="207"/>
      <c r="D318" s="207"/>
      <c r="E318" s="207"/>
      <c r="F318" s="207"/>
      <c r="G318" s="207"/>
      <c r="H318" s="207"/>
      <c r="I318" s="207"/>
      <c r="J318" s="207"/>
      <c r="K318" s="207"/>
      <c r="L318" s="207"/>
      <c r="M318" s="207"/>
      <c r="N318" s="207"/>
      <c r="O318" s="207"/>
      <c r="P318" s="207"/>
      <c r="Q318" s="207"/>
      <c r="R318" s="207"/>
      <c r="S318" s="207"/>
      <c r="T318" s="208"/>
      <c r="U318" s="11"/>
      <c r="V318" s="24"/>
      <c r="W318" s="24"/>
      <c r="X318" s="24"/>
    </row>
    <row r="319" spans="1:24" s="3" customFormat="1" ht="15" customHeight="1">
      <c r="A319" s="94">
        <v>15</v>
      </c>
      <c r="B319" s="167" t="s">
        <v>63</v>
      </c>
      <c r="C319" s="168"/>
      <c r="D319" s="111">
        <v>25</v>
      </c>
      <c r="E319" s="112">
        <v>16</v>
      </c>
      <c r="F319" s="112">
        <f>2.32*D319/10</f>
        <v>5.799999999999999</v>
      </c>
      <c r="G319" s="112">
        <f>3.4*D319/10</f>
        <v>8.5</v>
      </c>
      <c r="H319" s="112">
        <f>0.01*D319/10</f>
        <v>0.025</v>
      </c>
      <c r="I319" s="112">
        <f>F319*4+G319*9+H319*4</f>
        <v>99.79999999999998</v>
      </c>
      <c r="J319" s="112">
        <f>0.004*D319/10</f>
        <v>0.01</v>
      </c>
      <c r="K319" s="112">
        <f>0.03*D319/10</f>
        <v>0.075</v>
      </c>
      <c r="L319" s="112">
        <f>0.07*D319/10</f>
        <v>0.17500000000000002</v>
      </c>
      <c r="M319" s="113">
        <f>0.023*D319/10</f>
        <v>0.057499999999999996</v>
      </c>
      <c r="N319" s="112">
        <f>0.05*D319/10</f>
        <v>0.125</v>
      </c>
      <c r="O319" s="112">
        <f>88*D319/10</f>
        <v>220</v>
      </c>
      <c r="P319" s="112">
        <f>50*D319/10</f>
        <v>125</v>
      </c>
      <c r="Q319" s="112">
        <f>0.4*D319/10</f>
        <v>1</v>
      </c>
      <c r="R319" s="113">
        <f>0.02*D319/10</f>
        <v>0.05</v>
      </c>
      <c r="S319" s="112">
        <f>3.5*D319/10</f>
        <v>8.75</v>
      </c>
      <c r="T319" s="112">
        <f>0.13*D319/10</f>
        <v>0.325</v>
      </c>
      <c r="U319" s="69"/>
      <c r="V319" s="70"/>
      <c r="W319" s="70"/>
      <c r="X319" s="70"/>
    </row>
    <row r="320" spans="1:24" s="104" customFormat="1" ht="21.75" customHeight="1">
      <c r="A320" s="133">
        <v>173</v>
      </c>
      <c r="B320" s="167" t="s">
        <v>88</v>
      </c>
      <c r="C320" s="168"/>
      <c r="D320" s="111">
        <v>250</v>
      </c>
      <c r="E320" s="112">
        <v>17.3</v>
      </c>
      <c r="F320" s="112">
        <v>9.12</v>
      </c>
      <c r="G320" s="112">
        <v>15.62</v>
      </c>
      <c r="H320" s="112">
        <v>67.87</v>
      </c>
      <c r="I320" s="112">
        <v>448.62</v>
      </c>
      <c r="J320" s="112">
        <v>1.17</v>
      </c>
      <c r="K320" s="112">
        <v>0.22</v>
      </c>
      <c r="L320" s="112">
        <v>4.18</v>
      </c>
      <c r="M320" s="113">
        <v>0.046</v>
      </c>
      <c r="N320" s="109">
        <v>1.62</v>
      </c>
      <c r="O320" s="112">
        <v>184.5</v>
      </c>
      <c r="P320" s="112">
        <v>248.85</v>
      </c>
      <c r="Q320" s="111">
        <v>0</v>
      </c>
      <c r="R320" s="113">
        <v>0</v>
      </c>
      <c r="S320" s="112">
        <v>7225</v>
      </c>
      <c r="T320" s="112">
        <v>1.62</v>
      </c>
      <c r="U320" s="114"/>
      <c r="V320" s="115"/>
      <c r="W320" s="115"/>
      <c r="X320" s="115"/>
    </row>
    <row r="321" spans="1:24" s="68" customFormat="1" ht="9.75">
      <c r="A321" s="66">
        <v>338</v>
      </c>
      <c r="B321" s="167" t="s">
        <v>100</v>
      </c>
      <c r="C321" s="168"/>
      <c r="D321" s="111">
        <v>100</v>
      </c>
      <c r="E321" s="112">
        <v>31.4</v>
      </c>
      <c r="F321" s="112">
        <v>0.9</v>
      </c>
      <c r="G321" s="109">
        <v>0.2</v>
      </c>
      <c r="H321" s="110">
        <v>8.1</v>
      </c>
      <c r="I321" s="112">
        <f>F321*4+G321*9+H321*4</f>
        <v>37.8</v>
      </c>
      <c r="J321" s="112">
        <v>0.04</v>
      </c>
      <c r="K321" s="112">
        <v>0.03</v>
      </c>
      <c r="L321" s="112">
        <v>60</v>
      </c>
      <c r="M321" s="112">
        <v>0.008</v>
      </c>
      <c r="N321" s="109">
        <v>0.2</v>
      </c>
      <c r="O321" s="112">
        <v>34</v>
      </c>
      <c r="P321" s="112">
        <v>23</v>
      </c>
      <c r="Q321" s="113">
        <v>0.2</v>
      </c>
      <c r="R321" s="112">
        <v>0.002</v>
      </c>
      <c r="S321" s="112">
        <v>15</v>
      </c>
      <c r="T321" s="112">
        <v>0.3</v>
      </c>
      <c r="U321" s="69"/>
      <c r="V321" s="70"/>
      <c r="W321" s="70"/>
      <c r="X321" s="70"/>
    </row>
    <row r="322" spans="1:24" s="104" customFormat="1" ht="12.75" customHeight="1">
      <c r="A322" s="133">
        <v>376</v>
      </c>
      <c r="B322" s="166" t="s">
        <v>93</v>
      </c>
      <c r="C322" s="166"/>
      <c r="D322" s="111">
        <v>200</v>
      </c>
      <c r="E322" s="112">
        <v>2.2</v>
      </c>
      <c r="F322" s="112">
        <v>0.2</v>
      </c>
      <c r="G322" s="112">
        <v>0.05</v>
      </c>
      <c r="H322" s="112">
        <v>15.01</v>
      </c>
      <c r="I322" s="112">
        <v>61.29</v>
      </c>
      <c r="J322" s="112">
        <v>0</v>
      </c>
      <c r="K322" s="112">
        <v>0.01</v>
      </c>
      <c r="L322" s="112">
        <v>9</v>
      </c>
      <c r="M322" s="109">
        <v>0</v>
      </c>
      <c r="N322" s="112">
        <v>0.045</v>
      </c>
      <c r="O322" s="112">
        <v>5.25</v>
      </c>
      <c r="P322" s="112">
        <v>8.24</v>
      </c>
      <c r="Q322" s="112">
        <v>0.008</v>
      </c>
      <c r="R322" s="113">
        <v>0</v>
      </c>
      <c r="S322" s="112">
        <v>4.4</v>
      </c>
      <c r="T322" s="112">
        <v>0.87</v>
      </c>
      <c r="U322" s="114"/>
      <c r="V322" s="115"/>
      <c r="W322" s="115"/>
      <c r="X322" s="115"/>
    </row>
    <row r="323" spans="1:24" s="3" customFormat="1" ht="12.75" customHeight="1">
      <c r="A323" s="117" t="s">
        <v>54</v>
      </c>
      <c r="B323" s="167" t="s">
        <v>40</v>
      </c>
      <c r="C323" s="168"/>
      <c r="D323" s="111">
        <v>40</v>
      </c>
      <c r="E323" s="112">
        <v>3.1</v>
      </c>
      <c r="F323" s="112">
        <f>1.52*D323/30</f>
        <v>2.0266666666666664</v>
      </c>
      <c r="G323" s="113">
        <f>0.16*D323/30</f>
        <v>0.21333333333333335</v>
      </c>
      <c r="H323" s="113">
        <f>9.84*D323/30</f>
        <v>13.120000000000001</v>
      </c>
      <c r="I323" s="113">
        <f>F323*4+G323*9+H323*4</f>
        <v>62.50666666666667</v>
      </c>
      <c r="J323" s="113">
        <f>0.02*D323/30</f>
        <v>0.02666666666666667</v>
      </c>
      <c r="K323" s="113">
        <f>0.01*D323/30</f>
        <v>0.013333333333333334</v>
      </c>
      <c r="L323" s="113">
        <f>0.44*D323/30</f>
        <v>0.5866666666666667</v>
      </c>
      <c r="M323" s="113">
        <v>0</v>
      </c>
      <c r="N323" s="113">
        <f>0.7*D323/30</f>
        <v>0.9333333333333333</v>
      </c>
      <c r="O323" s="113">
        <f>4*D323/30</f>
        <v>5.333333333333333</v>
      </c>
      <c r="P323" s="113">
        <f>13*D323/30</f>
        <v>17.333333333333332</v>
      </c>
      <c r="Q323" s="113">
        <f>0.008*D323/30</f>
        <v>0.010666666666666666</v>
      </c>
      <c r="R323" s="113">
        <f>0.001*D323/30</f>
        <v>0.0013333333333333333</v>
      </c>
      <c r="S323" s="113">
        <v>0</v>
      </c>
      <c r="T323" s="113">
        <f>0.22*D323/30</f>
        <v>0.29333333333333333</v>
      </c>
      <c r="U323" s="69"/>
      <c r="V323" s="70"/>
      <c r="W323" s="70"/>
      <c r="X323" s="70"/>
    </row>
    <row r="324" spans="1:20" s="100" customFormat="1" ht="12.75" customHeight="1">
      <c r="A324" s="143" t="s">
        <v>54</v>
      </c>
      <c r="B324" s="187" t="s">
        <v>85</v>
      </c>
      <c r="C324" s="187"/>
      <c r="D324" s="124">
        <v>20</v>
      </c>
      <c r="E324" s="101">
        <v>10</v>
      </c>
      <c r="F324" s="101">
        <v>0.4</v>
      </c>
      <c r="G324" s="101">
        <v>0.4</v>
      </c>
      <c r="H324" s="101">
        <v>9.8</v>
      </c>
      <c r="I324" s="101">
        <f>F324*4+G324*9+H324*4</f>
        <v>44.400000000000006</v>
      </c>
      <c r="J324" s="101">
        <v>0.04</v>
      </c>
      <c r="K324" s="101">
        <v>0.02</v>
      </c>
      <c r="L324" s="124">
        <v>10</v>
      </c>
      <c r="M324" s="124">
        <v>0.02</v>
      </c>
      <c r="N324" s="101">
        <v>0.2</v>
      </c>
      <c r="O324" s="101">
        <v>16</v>
      </c>
      <c r="P324" s="101">
        <v>11</v>
      </c>
      <c r="Q324" s="124">
        <v>0.03</v>
      </c>
      <c r="R324" s="124">
        <v>0.002</v>
      </c>
      <c r="S324" s="101">
        <v>9</v>
      </c>
      <c r="T324" s="101">
        <v>2.2</v>
      </c>
    </row>
    <row r="325" spans="1:24" s="3" customFormat="1" ht="11.25" customHeight="1">
      <c r="A325" s="61" t="s">
        <v>26</v>
      </c>
      <c r="B325" s="62"/>
      <c r="C325" s="62"/>
      <c r="D325" s="65">
        <f aca="true" t="shared" si="85" ref="D325:T325">SUM(D319:D324)</f>
        <v>635</v>
      </c>
      <c r="E325" s="118">
        <f t="shared" si="85"/>
        <v>79.99999999999999</v>
      </c>
      <c r="F325" s="39">
        <f t="shared" si="85"/>
        <v>18.446666666666665</v>
      </c>
      <c r="G325" s="39">
        <f t="shared" si="85"/>
        <v>24.98333333333333</v>
      </c>
      <c r="H325" s="39">
        <f t="shared" si="85"/>
        <v>113.92500000000001</v>
      </c>
      <c r="I325" s="39">
        <f t="shared" si="85"/>
        <v>754.4166666666665</v>
      </c>
      <c r="J325" s="39">
        <f t="shared" si="85"/>
        <v>1.2866666666666666</v>
      </c>
      <c r="K325" s="39">
        <f t="shared" si="85"/>
        <v>0.3683333333333333</v>
      </c>
      <c r="L325" s="39">
        <f t="shared" si="85"/>
        <v>83.94166666666668</v>
      </c>
      <c r="M325" s="39">
        <f t="shared" si="85"/>
        <v>0.13149999999999998</v>
      </c>
      <c r="N325" s="39">
        <f t="shared" si="85"/>
        <v>3.1233333333333335</v>
      </c>
      <c r="O325" s="39">
        <f t="shared" si="85"/>
        <v>465.0833333333333</v>
      </c>
      <c r="P325" s="39">
        <f t="shared" si="85"/>
        <v>433.42333333333335</v>
      </c>
      <c r="Q325" s="39">
        <f t="shared" si="85"/>
        <v>1.2486666666666666</v>
      </c>
      <c r="R325" s="39">
        <f t="shared" si="85"/>
        <v>0.05533333333333334</v>
      </c>
      <c r="S325" s="39">
        <f t="shared" si="85"/>
        <v>7262.15</v>
      </c>
      <c r="T325" s="39">
        <f t="shared" si="85"/>
        <v>5.608333333333334</v>
      </c>
      <c r="U325" s="38"/>
      <c r="V325" s="41"/>
      <c r="W325" s="41"/>
      <c r="X325" s="41"/>
    </row>
    <row r="326" spans="1:24" s="3" customFormat="1" ht="11.25" customHeight="1">
      <c r="A326" s="176" t="s">
        <v>50</v>
      </c>
      <c r="B326" s="177"/>
      <c r="C326" s="177"/>
      <c r="D326" s="178"/>
      <c r="E326" s="126"/>
      <c r="F326" s="119">
        <f aca="true" t="shared" si="86" ref="F326:T326">F325/F344</f>
        <v>0.20496296296296296</v>
      </c>
      <c r="G326" s="44">
        <f t="shared" si="86"/>
        <v>0.27155797101449275</v>
      </c>
      <c r="H326" s="44">
        <f t="shared" si="86"/>
        <v>0.2974543080939948</v>
      </c>
      <c r="I326" s="44">
        <f t="shared" si="86"/>
        <v>0.2773590686274509</v>
      </c>
      <c r="J326" s="44">
        <f t="shared" si="86"/>
        <v>0.9190476190476191</v>
      </c>
      <c r="K326" s="44">
        <f t="shared" si="86"/>
        <v>0.2302083333333333</v>
      </c>
      <c r="L326" s="44">
        <f t="shared" si="86"/>
        <v>1.1991666666666667</v>
      </c>
      <c r="M326" s="44">
        <f t="shared" si="86"/>
        <v>0.14611111111111108</v>
      </c>
      <c r="N326" s="44">
        <f t="shared" si="86"/>
        <v>0.2602777777777778</v>
      </c>
      <c r="O326" s="44">
        <f t="shared" si="86"/>
        <v>0.3875694444444444</v>
      </c>
      <c r="P326" s="44">
        <f t="shared" si="86"/>
        <v>0.3611861111111111</v>
      </c>
      <c r="Q326" s="44">
        <f t="shared" si="86"/>
        <v>0.08919047619047618</v>
      </c>
      <c r="R326" s="44">
        <f t="shared" si="86"/>
        <v>0.5533333333333333</v>
      </c>
      <c r="S326" s="44">
        <f t="shared" si="86"/>
        <v>24.207166666666666</v>
      </c>
      <c r="T326" s="44">
        <f t="shared" si="86"/>
        <v>0.3115740740740741</v>
      </c>
      <c r="U326" s="48"/>
      <c r="V326" s="41"/>
      <c r="W326" s="41"/>
      <c r="X326" s="41"/>
    </row>
    <row r="327" spans="1:24" s="3" customFormat="1" ht="11.25" customHeight="1">
      <c r="A327" s="206" t="s">
        <v>27</v>
      </c>
      <c r="B327" s="207"/>
      <c r="C327" s="207"/>
      <c r="D327" s="207"/>
      <c r="E327" s="207"/>
      <c r="F327" s="207"/>
      <c r="G327" s="207"/>
      <c r="H327" s="207"/>
      <c r="I327" s="207"/>
      <c r="J327" s="207"/>
      <c r="K327" s="207"/>
      <c r="L327" s="207"/>
      <c r="M327" s="207"/>
      <c r="N327" s="207"/>
      <c r="O327" s="207"/>
      <c r="P327" s="207"/>
      <c r="Q327" s="207"/>
      <c r="R327" s="207"/>
      <c r="S327" s="207"/>
      <c r="T327" s="208"/>
      <c r="U327" s="11"/>
      <c r="V327" s="24"/>
      <c r="W327" s="24"/>
      <c r="X327" s="24"/>
    </row>
    <row r="328" spans="1:24" s="104" customFormat="1" ht="22.5" customHeight="1">
      <c r="A328" s="133">
        <v>56</v>
      </c>
      <c r="B328" s="166" t="s">
        <v>86</v>
      </c>
      <c r="C328" s="166"/>
      <c r="D328" s="111">
        <v>100</v>
      </c>
      <c r="E328" s="112">
        <v>7.39</v>
      </c>
      <c r="F328" s="112">
        <f>0.9*D328/60</f>
        <v>1.5</v>
      </c>
      <c r="G328" s="110">
        <f>3.1*D328/60</f>
        <v>5.166666666666667</v>
      </c>
      <c r="H328" s="110">
        <f>5.6*D328/60</f>
        <v>9.333333333333334</v>
      </c>
      <c r="I328" s="112">
        <f aca="true" t="shared" si="87" ref="I328:I335">F328*4+G328*9+H328*4</f>
        <v>89.83333333333334</v>
      </c>
      <c r="J328" s="113">
        <f>0.1*D328/60</f>
        <v>0.16666666666666666</v>
      </c>
      <c r="K328" s="113">
        <f>0.1*D328/60</f>
        <v>0.16666666666666666</v>
      </c>
      <c r="L328" s="112">
        <f>12.3*D328/60</f>
        <v>20.5</v>
      </c>
      <c r="M328" s="113">
        <f>0.02*D328/60</f>
        <v>0.03333333333333333</v>
      </c>
      <c r="N328" s="113">
        <f>0.5*D328/60</f>
        <v>0.8333333333333334</v>
      </c>
      <c r="O328" s="110">
        <f>59.9*D328/60</f>
        <v>99.83333333333333</v>
      </c>
      <c r="P328" s="110">
        <f>31.3*D328/60</f>
        <v>52.166666666666664</v>
      </c>
      <c r="Q328" s="116">
        <f>0.4228*D328/60</f>
        <v>0.7046666666666667</v>
      </c>
      <c r="R328" s="113">
        <f>0.003*D328/60</f>
        <v>0.005</v>
      </c>
      <c r="S328" s="110">
        <f>16.3*D328/60</f>
        <v>27.166666666666668</v>
      </c>
      <c r="T328" s="112">
        <f>0.7*D328/60</f>
        <v>1.1666666666666667</v>
      </c>
      <c r="U328" s="114"/>
      <c r="V328" s="115"/>
      <c r="W328" s="115"/>
      <c r="X328" s="115"/>
    </row>
    <row r="329" spans="1:24" s="104" customFormat="1" ht="22.5" customHeight="1">
      <c r="A329" s="133">
        <v>102</v>
      </c>
      <c r="B329" s="167" t="s">
        <v>72</v>
      </c>
      <c r="C329" s="168"/>
      <c r="D329" s="109">
        <v>250</v>
      </c>
      <c r="E329" s="112">
        <v>10.22</v>
      </c>
      <c r="F329" s="112">
        <v>6.22</v>
      </c>
      <c r="G329" s="112">
        <v>3.99</v>
      </c>
      <c r="H329" s="112">
        <v>21.73</v>
      </c>
      <c r="I329" s="112">
        <f t="shared" si="87"/>
        <v>147.71</v>
      </c>
      <c r="J329" s="112">
        <v>0.27</v>
      </c>
      <c r="K329" s="112">
        <v>0.09</v>
      </c>
      <c r="L329" s="112">
        <v>9</v>
      </c>
      <c r="M329" s="113">
        <v>0.001</v>
      </c>
      <c r="N329" s="112">
        <v>0.257</v>
      </c>
      <c r="O329" s="112">
        <v>54.13</v>
      </c>
      <c r="P329" s="112">
        <v>183.2</v>
      </c>
      <c r="Q329" s="112">
        <v>1.157</v>
      </c>
      <c r="R329" s="113">
        <v>0.013</v>
      </c>
      <c r="S329" s="112">
        <v>49.63</v>
      </c>
      <c r="T329" s="112">
        <v>1.03</v>
      </c>
      <c r="U329" s="114"/>
      <c r="V329" s="115"/>
      <c r="W329" s="115"/>
      <c r="X329" s="115"/>
    </row>
    <row r="330" spans="1:24" s="104" customFormat="1" ht="23.25" customHeight="1">
      <c r="A330" s="133">
        <v>266</v>
      </c>
      <c r="B330" s="167" t="s">
        <v>70</v>
      </c>
      <c r="C330" s="168"/>
      <c r="D330" s="111">
        <v>100</v>
      </c>
      <c r="E330" s="112">
        <v>44.81</v>
      </c>
      <c r="F330" s="112">
        <v>16.68</v>
      </c>
      <c r="G330" s="112">
        <v>23.27</v>
      </c>
      <c r="H330" s="112">
        <v>4.28</v>
      </c>
      <c r="I330" s="112">
        <v>293</v>
      </c>
      <c r="J330" s="112">
        <v>0.203</v>
      </c>
      <c r="K330" s="112">
        <v>0.23</v>
      </c>
      <c r="L330" s="112">
        <v>0.48</v>
      </c>
      <c r="M330" s="112">
        <f>0.04*D330/80</f>
        <v>0.05</v>
      </c>
      <c r="N330" s="109">
        <v>0.068</v>
      </c>
      <c r="O330" s="110">
        <v>54.5</v>
      </c>
      <c r="P330" s="110">
        <v>200.14</v>
      </c>
      <c r="Q330" s="112">
        <v>2.56</v>
      </c>
      <c r="R330" s="113">
        <f>0.04*D330/80</f>
        <v>0.05</v>
      </c>
      <c r="S330" s="110">
        <v>27.5</v>
      </c>
      <c r="T330" s="112">
        <v>2.17</v>
      </c>
      <c r="U330" s="114"/>
      <c r="V330" s="115"/>
      <c r="W330" s="115"/>
      <c r="X330" s="115"/>
    </row>
    <row r="331" spans="1:24" s="3" customFormat="1" ht="12.75" customHeight="1">
      <c r="A331" s="117">
        <v>171</v>
      </c>
      <c r="B331" s="167" t="s">
        <v>23</v>
      </c>
      <c r="C331" s="168"/>
      <c r="D331" s="111">
        <v>180</v>
      </c>
      <c r="E331" s="112">
        <v>13.8</v>
      </c>
      <c r="F331" s="112">
        <f>6.57*D331/150</f>
        <v>7.884000000000001</v>
      </c>
      <c r="G331" s="112">
        <f>4.19*D331/150</f>
        <v>5.0280000000000005</v>
      </c>
      <c r="H331" s="112">
        <f>32.32*D331/150</f>
        <v>38.784</v>
      </c>
      <c r="I331" s="112">
        <f t="shared" si="87"/>
        <v>231.924</v>
      </c>
      <c r="J331" s="113">
        <f>0.06*D331/150</f>
        <v>0.072</v>
      </c>
      <c r="K331" s="113">
        <f>0.03*D331/150</f>
        <v>0.036</v>
      </c>
      <c r="L331" s="109">
        <v>0</v>
      </c>
      <c r="M331" s="113">
        <f>0.03*D331/150</f>
        <v>0.036</v>
      </c>
      <c r="N331" s="109">
        <f>2.55*D331/150</f>
        <v>3.0599999999999996</v>
      </c>
      <c r="O331" s="112">
        <f>18.12*D331/150</f>
        <v>21.744000000000003</v>
      </c>
      <c r="P331" s="112">
        <f>157.03*D331/150</f>
        <v>188.436</v>
      </c>
      <c r="Q331" s="113">
        <f>0.8874*D331/150</f>
        <v>1.06488</v>
      </c>
      <c r="R331" s="113">
        <f>0.00135*D331/150</f>
        <v>0.0016200000000000001</v>
      </c>
      <c r="S331" s="112">
        <f>104.45*D331/150</f>
        <v>125.34</v>
      </c>
      <c r="T331" s="112">
        <f>3.55*D331/150</f>
        <v>4.26</v>
      </c>
      <c r="U331" s="69"/>
      <c r="V331" s="70"/>
      <c r="W331" s="70"/>
      <c r="X331" s="70"/>
    </row>
    <row r="332" spans="1:24" s="104" customFormat="1" ht="12.75" customHeight="1">
      <c r="A332" s="133">
        <v>376</v>
      </c>
      <c r="B332" s="166" t="s">
        <v>93</v>
      </c>
      <c r="C332" s="166"/>
      <c r="D332" s="111">
        <v>200</v>
      </c>
      <c r="E332" s="112">
        <v>2.2</v>
      </c>
      <c r="F332" s="112">
        <v>0.2</v>
      </c>
      <c r="G332" s="112">
        <v>0.05</v>
      </c>
      <c r="H332" s="112">
        <v>15.01</v>
      </c>
      <c r="I332" s="112">
        <v>61.29</v>
      </c>
      <c r="J332" s="112">
        <v>0</v>
      </c>
      <c r="K332" s="112">
        <v>0.01</v>
      </c>
      <c r="L332" s="112">
        <v>9</v>
      </c>
      <c r="M332" s="109">
        <v>0</v>
      </c>
      <c r="N332" s="112">
        <v>0.045</v>
      </c>
      <c r="O332" s="112">
        <v>5.25</v>
      </c>
      <c r="P332" s="112">
        <v>8.24</v>
      </c>
      <c r="Q332" s="112">
        <v>0.008</v>
      </c>
      <c r="R332" s="113">
        <v>0</v>
      </c>
      <c r="S332" s="112">
        <v>4.4</v>
      </c>
      <c r="T332" s="112">
        <v>0.87</v>
      </c>
      <c r="U332" s="114"/>
      <c r="V332" s="115"/>
      <c r="W332" s="115"/>
      <c r="X332" s="115"/>
    </row>
    <row r="333" spans="1:24" s="3" customFormat="1" ht="11.25" customHeight="1">
      <c r="A333" s="72" t="s">
        <v>54</v>
      </c>
      <c r="B333" s="167" t="s">
        <v>35</v>
      </c>
      <c r="C333" s="168"/>
      <c r="D333" s="111">
        <v>50</v>
      </c>
      <c r="E333" s="112">
        <v>2.43</v>
      </c>
      <c r="F333" s="112">
        <f>2.64*D333/40</f>
        <v>3.3</v>
      </c>
      <c r="G333" s="112">
        <f>0.48*D333/40</f>
        <v>0.6</v>
      </c>
      <c r="H333" s="112">
        <f>13.68*D333/40</f>
        <v>17.1</v>
      </c>
      <c r="I333" s="110">
        <f t="shared" si="87"/>
        <v>87</v>
      </c>
      <c r="J333" s="109">
        <f>0.08*D333/40</f>
        <v>0.1</v>
      </c>
      <c r="K333" s="112">
        <f>0.04*D333/40</f>
        <v>0.05</v>
      </c>
      <c r="L333" s="111">
        <v>0</v>
      </c>
      <c r="M333" s="111">
        <v>0</v>
      </c>
      <c r="N333" s="112">
        <f>2.4*D333/40</f>
        <v>3</v>
      </c>
      <c r="O333" s="112">
        <f>14*D333/40</f>
        <v>17.5</v>
      </c>
      <c r="P333" s="112">
        <f>63.2*D333/40</f>
        <v>79</v>
      </c>
      <c r="Q333" s="112">
        <f>1.2*D333/40</f>
        <v>1.5</v>
      </c>
      <c r="R333" s="113">
        <f>0.001*D333/40</f>
        <v>0.00125</v>
      </c>
      <c r="S333" s="112">
        <f>9.4*D333/40</f>
        <v>11.75</v>
      </c>
      <c r="T333" s="109">
        <f>0.78*D333/40</f>
        <v>0.975</v>
      </c>
      <c r="U333" s="30"/>
      <c r="V333" s="31"/>
      <c r="W333" s="31"/>
      <c r="X333" s="31"/>
    </row>
    <row r="334" spans="1:20" s="100" customFormat="1" ht="12.75" customHeight="1">
      <c r="A334" s="143" t="s">
        <v>54</v>
      </c>
      <c r="B334" s="187" t="s">
        <v>85</v>
      </c>
      <c r="C334" s="187"/>
      <c r="D334" s="124">
        <v>15</v>
      </c>
      <c r="E334" s="101">
        <v>5.3</v>
      </c>
      <c r="F334" s="101">
        <v>0.4</v>
      </c>
      <c r="G334" s="101">
        <v>0.4</v>
      </c>
      <c r="H334" s="101">
        <v>9.8</v>
      </c>
      <c r="I334" s="101">
        <f>F334*4+G334*9+H334*4</f>
        <v>44.400000000000006</v>
      </c>
      <c r="J334" s="101">
        <v>0.04</v>
      </c>
      <c r="K334" s="101">
        <v>0.02</v>
      </c>
      <c r="L334" s="124">
        <v>10</v>
      </c>
      <c r="M334" s="124">
        <v>0.02</v>
      </c>
      <c r="N334" s="101">
        <v>0.2</v>
      </c>
      <c r="O334" s="101">
        <v>16</v>
      </c>
      <c r="P334" s="101">
        <v>11</v>
      </c>
      <c r="Q334" s="124">
        <v>0.03</v>
      </c>
      <c r="R334" s="124">
        <v>0.002</v>
      </c>
      <c r="S334" s="101">
        <v>9</v>
      </c>
      <c r="T334" s="101">
        <v>2.2</v>
      </c>
    </row>
    <row r="335" spans="1:24" s="3" customFormat="1" ht="11.25" customHeight="1">
      <c r="A335" s="117" t="s">
        <v>54</v>
      </c>
      <c r="B335" s="167" t="s">
        <v>40</v>
      </c>
      <c r="C335" s="168"/>
      <c r="D335" s="111">
        <v>50</v>
      </c>
      <c r="E335" s="112">
        <v>3.85</v>
      </c>
      <c r="F335" s="112">
        <f>1.52*D335/30</f>
        <v>2.533333333333333</v>
      </c>
      <c r="G335" s="113">
        <f>0.16*D335/30</f>
        <v>0.26666666666666666</v>
      </c>
      <c r="H335" s="113">
        <f>9.84*D335/30</f>
        <v>16.4</v>
      </c>
      <c r="I335" s="113">
        <f t="shared" si="87"/>
        <v>78.13333333333333</v>
      </c>
      <c r="J335" s="113">
        <f>0.02*D335/30</f>
        <v>0.03333333333333333</v>
      </c>
      <c r="K335" s="113">
        <f>0.01*D335/30</f>
        <v>0.016666666666666666</v>
      </c>
      <c r="L335" s="113">
        <f>0.44*D335/30</f>
        <v>0.7333333333333333</v>
      </c>
      <c r="M335" s="113">
        <v>0</v>
      </c>
      <c r="N335" s="113">
        <f>0.7*D335/30</f>
        <v>1.1666666666666667</v>
      </c>
      <c r="O335" s="113">
        <f>4*D335/30</f>
        <v>6.666666666666667</v>
      </c>
      <c r="P335" s="113">
        <f>13*D335/30</f>
        <v>21.666666666666668</v>
      </c>
      <c r="Q335" s="113">
        <f>0.008*D335/30</f>
        <v>0.013333333333333334</v>
      </c>
      <c r="R335" s="113">
        <f>0.001*D335/30</f>
        <v>0.0016666666666666668</v>
      </c>
      <c r="S335" s="113">
        <v>0</v>
      </c>
      <c r="T335" s="113">
        <f>0.22*D335/30</f>
        <v>0.36666666666666664</v>
      </c>
      <c r="U335" s="69"/>
      <c r="V335" s="70"/>
      <c r="W335" s="70"/>
      <c r="X335" s="70"/>
    </row>
    <row r="336" spans="1:24" s="3" customFormat="1" ht="11.25" customHeight="1">
      <c r="A336" s="61" t="s">
        <v>28</v>
      </c>
      <c r="B336" s="62"/>
      <c r="C336" s="62"/>
      <c r="D336" s="65">
        <f aca="true" t="shared" si="88" ref="D336:I336">SUM(D328:D335)</f>
        <v>945</v>
      </c>
      <c r="E336" s="118">
        <f t="shared" si="88"/>
        <v>90</v>
      </c>
      <c r="F336" s="39">
        <f t="shared" si="88"/>
        <v>38.71733333333333</v>
      </c>
      <c r="G336" s="38">
        <f t="shared" si="88"/>
        <v>38.771333333333324</v>
      </c>
      <c r="H336" s="38">
        <f t="shared" si="88"/>
        <v>132.43733333333333</v>
      </c>
      <c r="I336" s="38">
        <f t="shared" si="88"/>
        <v>1033.2906666666665</v>
      </c>
      <c r="J336" s="38">
        <f aca="true" t="shared" si="89" ref="J336:T336">SUM(J328:J335)</f>
        <v>0.8849999999999999</v>
      </c>
      <c r="K336" s="39">
        <f t="shared" si="89"/>
        <v>0.6193333333333335</v>
      </c>
      <c r="L336" s="38">
        <f t="shared" si="89"/>
        <v>49.71333333333334</v>
      </c>
      <c r="M336" s="38">
        <f t="shared" si="89"/>
        <v>0.14033333333333334</v>
      </c>
      <c r="N336" s="43">
        <f t="shared" si="89"/>
        <v>8.629999999999999</v>
      </c>
      <c r="O336" s="38">
        <f t="shared" si="89"/>
        <v>275.624</v>
      </c>
      <c r="P336" s="38">
        <f t="shared" si="89"/>
        <v>743.8493333333333</v>
      </c>
      <c r="Q336" s="38">
        <f t="shared" si="89"/>
        <v>7.037880000000001</v>
      </c>
      <c r="R336" s="40">
        <f t="shared" si="89"/>
        <v>0.07453666666666667</v>
      </c>
      <c r="S336" s="38">
        <f t="shared" si="89"/>
        <v>254.78666666666666</v>
      </c>
      <c r="T336" s="39">
        <f t="shared" si="89"/>
        <v>13.038333333333334</v>
      </c>
      <c r="U336" s="38"/>
      <c r="V336" s="41"/>
      <c r="W336" s="41"/>
      <c r="X336" s="41"/>
    </row>
    <row r="337" spans="1:24" s="3" customFormat="1" ht="11.25" customHeight="1">
      <c r="A337" s="176" t="s">
        <v>50</v>
      </c>
      <c r="B337" s="177"/>
      <c r="C337" s="177"/>
      <c r="D337" s="178"/>
      <c r="E337" s="127"/>
      <c r="F337" s="71">
        <f aca="true" t="shared" si="90" ref="F337:T337">F336/F344</f>
        <v>0.43019259259259257</v>
      </c>
      <c r="G337" s="44">
        <f t="shared" si="90"/>
        <v>0.42142753623188395</v>
      </c>
      <c r="H337" s="44">
        <f t="shared" si="90"/>
        <v>0.3457893820713664</v>
      </c>
      <c r="I337" s="44">
        <f t="shared" si="90"/>
        <v>0.3798862745098039</v>
      </c>
      <c r="J337" s="44">
        <f t="shared" si="90"/>
        <v>0.6321428571428571</v>
      </c>
      <c r="K337" s="44">
        <f t="shared" si="90"/>
        <v>0.38708333333333345</v>
      </c>
      <c r="L337" s="44">
        <f t="shared" si="90"/>
        <v>0.7101904761904763</v>
      </c>
      <c r="M337" s="44">
        <f t="shared" si="90"/>
        <v>0.15592592592592594</v>
      </c>
      <c r="N337" s="44">
        <f t="shared" si="90"/>
        <v>0.7191666666666666</v>
      </c>
      <c r="O337" s="44">
        <f t="shared" si="90"/>
        <v>0.22968666666666668</v>
      </c>
      <c r="P337" s="44">
        <f t="shared" si="90"/>
        <v>0.6198744444444444</v>
      </c>
      <c r="Q337" s="44">
        <f t="shared" si="90"/>
        <v>0.5027057142857144</v>
      </c>
      <c r="R337" s="44">
        <f t="shared" si="90"/>
        <v>0.7453666666666666</v>
      </c>
      <c r="S337" s="44">
        <f t="shared" si="90"/>
        <v>0.8492888888888889</v>
      </c>
      <c r="T337" s="44">
        <f t="shared" si="90"/>
        <v>0.7243518518518519</v>
      </c>
      <c r="U337" s="48"/>
      <c r="V337" s="41"/>
      <c r="W337" s="41"/>
      <c r="X337" s="41"/>
    </row>
    <row r="338" spans="1:24" s="3" customFormat="1" ht="11.25" customHeight="1">
      <c r="A338" s="206" t="s">
        <v>29</v>
      </c>
      <c r="B338" s="207"/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7"/>
      <c r="P338" s="207"/>
      <c r="Q338" s="207"/>
      <c r="R338" s="207"/>
      <c r="S338" s="207"/>
      <c r="T338" s="208"/>
      <c r="U338" s="11"/>
      <c r="V338" s="24"/>
      <c r="W338" s="24"/>
      <c r="X338" s="24"/>
    </row>
    <row r="339" spans="1:20" s="100" customFormat="1" ht="11.25" customHeight="1">
      <c r="A339" s="165"/>
      <c r="B339" s="187"/>
      <c r="C339" s="187"/>
      <c r="D339" s="151"/>
      <c r="E339" s="101"/>
      <c r="F339" s="101"/>
      <c r="G339" s="101"/>
      <c r="H339" s="101"/>
      <c r="I339" s="101"/>
      <c r="J339" s="101"/>
      <c r="K339" s="101"/>
      <c r="L339" s="124"/>
      <c r="M339" s="124"/>
      <c r="N339" s="101"/>
      <c r="O339" s="101"/>
      <c r="P339" s="101"/>
      <c r="Q339" s="124"/>
      <c r="R339" s="124"/>
      <c r="S339" s="101"/>
      <c r="T339" s="101"/>
    </row>
    <row r="340" spans="1:20" s="100" customFormat="1" ht="11.25" customHeight="1">
      <c r="A340" s="153"/>
      <c r="B340" s="212"/>
      <c r="C340" s="212"/>
      <c r="D340" s="154"/>
      <c r="E340" s="155"/>
      <c r="F340" s="142"/>
      <c r="G340" s="142"/>
      <c r="H340" s="142"/>
      <c r="I340" s="142"/>
      <c r="J340" s="142"/>
      <c r="K340" s="142"/>
      <c r="L340" s="142"/>
      <c r="M340" s="142"/>
      <c r="N340" s="142"/>
      <c r="O340" s="142"/>
      <c r="P340" s="142"/>
      <c r="Q340" s="142"/>
      <c r="R340" s="142"/>
      <c r="S340" s="142"/>
      <c r="T340" s="142"/>
    </row>
    <row r="341" spans="1:24" s="1" customFormat="1" ht="11.25" customHeight="1">
      <c r="A341" s="61" t="s">
        <v>30</v>
      </c>
      <c r="B341" s="62"/>
      <c r="C341" s="62"/>
      <c r="D341" s="65">
        <f aca="true" t="shared" si="91" ref="D341:I341">SUM(D339:D340)</f>
        <v>0</v>
      </c>
      <c r="E341" s="65">
        <f t="shared" si="91"/>
        <v>0</v>
      </c>
      <c r="F341" s="39">
        <f t="shared" si="91"/>
        <v>0</v>
      </c>
      <c r="G341" s="38">
        <f t="shared" si="91"/>
        <v>0</v>
      </c>
      <c r="H341" s="38">
        <f t="shared" si="91"/>
        <v>0</v>
      </c>
      <c r="I341" s="38">
        <f t="shared" si="91"/>
        <v>0</v>
      </c>
      <c r="J341" s="38">
        <f aca="true" t="shared" si="92" ref="J341:T341">SUM(J339:J340)</f>
        <v>0</v>
      </c>
      <c r="K341" s="38">
        <f t="shared" si="92"/>
        <v>0</v>
      </c>
      <c r="L341" s="38">
        <f t="shared" si="92"/>
        <v>0</v>
      </c>
      <c r="M341" s="39">
        <f t="shared" si="92"/>
        <v>0</v>
      </c>
      <c r="N341" s="39">
        <f t="shared" si="92"/>
        <v>0</v>
      </c>
      <c r="O341" s="38">
        <f t="shared" si="92"/>
        <v>0</v>
      </c>
      <c r="P341" s="38">
        <f t="shared" si="92"/>
        <v>0</v>
      </c>
      <c r="Q341" s="38">
        <f t="shared" si="92"/>
        <v>0</v>
      </c>
      <c r="R341" s="40">
        <f t="shared" si="92"/>
        <v>0</v>
      </c>
      <c r="S341" s="38">
        <f t="shared" si="92"/>
        <v>0</v>
      </c>
      <c r="T341" s="39">
        <f t="shared" si="92"/>
        <v>0</v>
      </c>
      <c r="U341" s="38"/>
      <c r="V341" s="41"/>
      <c r="W341" s="41"/>
      <c r="X341" s="41"/>
    </row>
    <row r="342" spans="1:24" s="1" customFormat="1" ht="11.25" customHeight="1">
      <c r="A342" s="137" t="s">
        <v>50</v>
      </c>
      <c r="B342" s="138"/>
      <c r="C342" s="138"/>
      <c r="D342" s="139"/>
      <c r="E342" s="127"/>
      <c r="F342" s="71">
        <f>F341/F344</f>
        <v>0</v>
      </c>
      <c r="G342" s="44">
        <f aca="true" t="shared" si="93" ref="G342:T342">G341/G344</f>
        <v>0</v>
      </c>
      <c r="H342" s="44">
        <f t="shared" si="93"/>
        <v>0</v>
      </c>
      <c r="I342" s="44">
        <f t="shared" si="93"/>
        <v>0</v>
      </c>
      <c r="J342" s="44">
        <f t="shared" si="93"/>
        <v>0</v>
      </c>
      <c r="K342" s="44">
        <f t="shared" si="93"/>
        <v>0</v>
      </c>
      <c r="L342" s="44">
        <f t="shared" si="93"/>
        <v>0</v>
      </c>
      <c r="M342" s="44">
        <f t="shared" si="93"/>
        <v>0</v>
      </c>
      <c r="N342" s="44">
        <f t="shared" si="93"/>
        <v>0</v>
      </c>
      <c r="O342" s="44">
        <f t="shared" si="93"/>
        <v>0</v>
      </c>
      <c r="P342" s="44">
        <f t="shared" si="93"/>
        <v>0</v>
      </c>
      <c r="Q342" s="44">
        <f t="shared" si="93"/>
        <v>0</v>
      </c>
      <c r="R342" s="44">
        <f t="shared" si="93"/>
        <v>0</v>
      </c>
      <c r="S342" s="44">
        <f t="shared" si="93"/>
        <v>0</v>
      </c>
      <c r="T342" s="44">
        <f t="shared" si="93"/>
        <v>0</v>
      </c>
      <c r="U342" s="48"/>
      <c r="V342" s="41"/>
      <c r="W342" s="41"/>
      <c r="X342" s="41"/>
    </row>
    <row r="343" spans="1:24" s="1" customFormat="1" ht="11.25" customHeight="1">
      <c r="A343" s="61" t="s">
        <v>49</v>
      </c>
      <c r="B343" s="62"/>
      <c r="C343" s="62"/>
      <c r="D343" s="89">
        <f>D336+D325</f>
        <v>1580</v>
      </c>
      <c r="E343" s="136">
        <f>E336+E325</f>
        <v>170</v>
      </c>
      <c r="F343" s="39">
        <f aca="true" t="shared" si="94" ref="F343:T343">SUM(F325,F336,F341)</f>
        <v>57.163999999999994</v>
      </c>
      <c r="G343" s="38">
        <f t="shared" si="94"/>
        <v>63.75466666666665</v>
      </c>
      <c r="H343" s="38">
        <f t="shared" si="94"/>
        <v>246.36233333333334</v>
      </c>
      <c r="I343" s="38">
        <f t="shared" si="94"/>
        <v>1787.707333333333</v>
      </c>
      <c r="J343" s="39">
        <f t="shared" si="94"/>
        <v>2.1716666666666664</v>
      </c>
      <c r="K343" s="39">
        <f t="shared" si="94"/>
        <v>0.9876666666666668</v>
      </c>
      <c r="L343" s="38">
        <f t="shared" si="94"/>
        <v>133.65500000000003</v>
      </c>
      <c r="M343" s="39">
        <f t="shared" si="94"/>
        <v>0.2718333333333333</v>
      </c>
      <c r="N343" s="39">
        <f t="shared" si="94"/>
        <v>11.753333333333332</v>
      </c>
      <c r="O343" s="38">
        <f t="shared" si="94"/>
        <v>740.7073333333333</v>
      </c>
      <c r="P343" s="38">
        <f t="shared" si="94"/>
        <v>1177.2726666666667</v>
      </c>
      <c r="Q343" s="39">
        <f t="shared" si="94"/>
        <v>8.286546666666668</v>
      </c>
      <c r="R343" s="40">
        <f t="shared" si="94"/>
        <v>0.12987</v>
      </c>
      <c r="S343" s="39">
        <f t="shared" si="94"/>
        <v>7516.9366666666665</v>
      </c>
      <c r="T343" s="39">
        <f t="shared" si="94"/>
        <v>18.64666666666667</v>
      </c>
      <c r="U343" s="42"/>
      <c r="V343" s="41"/>
      <c r="W343" s="41"/>
      <c r="X343" s="41"/>
    </row>
    <row r="344" spans="1:24" s="1" customFormat="1" ht="11.25" customHeight="1">
      <c r="A344" s="169" t="s">
        <v>51</v>
      </c>
      <c r="B344" s="170"/>
      <c r="C344" s="170"/>
      <c r="D344" s="171"/>
      <c r="E344" s="132"/>
      <c r="F344" s="112">
        <v>90</v>
      </c>
      <c r="G344" s="110">
        <v>92</v>
      </c>
      <c r="H344" s="110">
        <v>383</v>
      </c>
      <c r="I344" s="110">
        <v>2720</v>
      </c>
      <c r="J344" s="112">
        <v>1.4</v>
      </c>
      <c r="K344" s="112">
        <v>1.6</v>
      </c>
      <c r="L344" s="111">
        <v>70</v>
      </c>
      <c r="M344" s="112">
        <v>0.9</v>
      </c>
      <c r="N344" s="111">
        <v>12</v>
      </c>
      <c r="O344" s="111">
        <v>1200</v>
      </c>
      <c r="P344" s="111">
        <v>1200</v>
      </c>
      <c r="Q344" s="111">
        <v>14</v>
      </c>
      <c r="R344" s="110">
        <v>0.1</v>
      </c>
      <c r="S344" s="111">
        <v>300</v>
      </c>
      <c r="T344" s="112">
        <v>18</v>
      </c>
      <c r="U344" s="69"/>
      <c r="V344" s="70"/>
      <c r="W344" s="70"/>
      <c r="X344" s="70"/>
    </row>
    <row r="345" spans="1:24" s="1" customFormat="1" ht="11.25" customHeight="1">
      <c r="A345" s="176" t="s">
        <v>50</v>
      </c>
      <c r="B345" s="177"/>
      <c r="C345" s="177"/>
      <c r="D345" s="178"/>
      <c r="E345" s="127"/>
      <c r="F345" s="71">
        <f aca="true" t="shared" si="95" ref="F345:T345">F343/F344</f>
        <v>0.6351555555555555</v>
      </c>
      <c r="G345" s="44">
        <f t="shared" si="95"/>
        <v>0.6929855072463766</v>
      </c>
      <c r="H345" s="44">
        <f t="shared" si="95"/>
        <v>0.6432436901653612</v>
      </c>
      <c r="I345" s="44">
        <f t="shared" si="95"/>
        <v>0.6572453431372548</v>
      </c>
      <c r="J345" s="44">
        <f t="shared" si="95"/>
        <v>1.551190476190476</v>
      </c>
      <c r="K345" s="44">
        <f t="shared" si="95"/>
        <v>0.6172916666666667</v>
      </c>
      <c r="L345" s="44">
        <f t="shared" si="95"/>
        <v>1.9093571428571432</v>
      </c>
      <c r="M345" s="45">
        <f t="shared" si="95"/>
        <v>0.302037037037037</v>
      </c>
      <c r="N345" s="44">
        <f t="shared" si="95"/>
        <v>0.9794444444444443</v>
      </c>
      <c r="O345" s="44">
        <f t="shared" si="95"/>
        <v>0.6172561111111111</v>
      </c>
      <c r="P345" s="44">
        <f t="shared" si="95"/>
        <v>0.9810605555555556</v>
      </c>
      <c r="Q345" s="44">
        <f t="shared" si="95"/>
        <v>0.5918961904761906</v>
      </c>
      <c r="R345" s="45">
        <f t="shared" si="95"/>
        <v>1.2987</v>
      </c>
      <c r="S345" s="44">
        <f t="shared" si="95"/>
        <v>25.056455555555555</v>
      </c>
      <c r="T345" s="45">
        <f t="shared" si="95"/>
        <v>1.035925925925926</v>
      </c>
      <c r="U345" s="46"/>
      <c r="V345" s="47"/>
      <c r="W345" s="47"/>
      <c r="X345" s="47"/>
    </row>
    <row r="346" spans="1:24" s="1" customFormat="1" ht="11.25" customHeight="1">
      <c r="A346" s="54"/>
      <c r="B346" s="54"/>
      <c r="C346" s="90"/>
      <c r="D346" s="90"/>
      <c r="E346" s="93"/>
      <c r="F346" s="84"/>
      <c r="G346" s="68"/>
      <c r="H346" s="2"/>
      <c r="I346" s="2"/>
      <c r="J346" s="68"/>
      <c r="K346" s="68"/>
      <c r="L346" s="68"/>
      <c r="M346" s="195" t="s">
        <v>53</v>
      </c>
      <c r="N346" s="195"/>
      <c r="O346" s="195"/>
      <c r="P346" s="195"/>
      <c r="Q346" s="195"/>
      <c r="R346" s="195"/>
      <c r="S346" s="195"/>
      <c r="T346" s="195"/>
      <c r="U346" s="12"/>
      <c r="V346" s="19"/>
      <c r="W346" s="19"/>
      <c r="X346" s="19"/>
    </row>
    <row r="347" spans="1:24" s="1" customFormat="1" ht="11.25" customHeight="1">
      <c r="A347" s="54"/>
      <c r="B347" s="54"/>
      <c r="C347" s="90"/>
      <c r="D347" s="90"/>
      <c r="E347" s="93"/>
      <c r="F347" s="84"/>
      <c r="G347" s="68"/>
      <c r="H347" s="2"/>
      <c r="I347" s="2"/>
      <c r="J347" s="68"/>
      <c r="K347" s="68"/>
      <c r="L347" s="68"/>
      <c r="M347" s="91"/>
      <c r="N347" s="91"/>
      <c r="O347" s="91"/>
      <c r="P347" s="91"/>
      <c r="Q347" s="91"/>
      <c r="R347" s="91"/>
      <c r="S347" s="91"/>
      <c r="T347" s="91"/>
      <c r="U347" s="12"/>
      <c r="V347" s="19"/>
      <c r="W347" s="19"/>
      <c r="X347" s="19"/>
    </row>
    <row r="348" spans="1:24" ht="11.25" customHeight="1">
      <c r="A348" s="54"/>
      <c r="B348" s="54"/>
      <c r="C348" s="54"/>
      <c r="D348" s="68"/>
      <c r="E348" s="68"/>
      <c r="F348" s="34"/>
      <c r="G348" s="68"/>
      <c r="H348" s="68"/>
      <c r="I348" s="68"/>
      <c r="J348" s="68"/>
      <c r="K348" s="68"/>
      <c r="L348" s="68"/>
      <c r="M348" s="68"/>
      <c r="N348" s="68"/>
      <c r="O348" s="68"/>
      <c r="P348" s="68"/>
      <c r="Q348" s="68"/>
      <c r="R348" s="68"/>
      <c r="S348" s="68"/>
      <c r="T348" s="68"/>
      <c r="U348" s="14"/>
      <c r="V348" s="20"/>
      <c r="W348" s="20"/>
      <c r="X348" s="20"/>
    </row>
    <row r="349" spans="1:24" ht="29.25" customHeight="1">
      <c r="A349" s="173" t="s">
        <v>55</v>
      </c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4"/>
      <c r="V349" s="20"/>
      <c r="W349" s="20"/>
      <c r="X349" s="20"/>
    </row>
    <row r="350" spans="1:24" ht="29.25" customHeight="1">
      <c r="A350" s="55"/>
      <c r="B350" s="55"/>
      <c r="C350" s="55"/>
      <c r="D350" s="4"/>
      <c r="E350" s="4"/>
      <c r="F350" s="85"/>
      <c r="G350" s="4"/>
      <c r="H350" s="6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17"/>
      <c r="V350" s="20"/>
      <c r="W350" s="20"/>
      <c r="X350" s="20"/>
    </row>
    <row r="351" spans="1:24" s="77" customFormat="1" ht="13.5" customHeight="1">
      <c r="A351" s="78"/>
      <c r="B351" s="78"/>
      <c r="C351" s="78"/>
      <c r="D351" s="78"/>
      <c r="E351" s="78"/>
      <c r="F351" s="86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9"/>
      <c r="W351" s="76"/>
      <c r="X351" s="76"/>
    </row>
  </sheetData>
  <sheetProtection/>
  <autoFilter ref="B1:B351"/>
  <mergeCells count="403">
    <mergeCell ref="B190:C190"/>
    <mergeCell ref="V305:V307"/>
    <mergeCell ref="W305:W307"/>
    <mergeCell ref="B296:C296"/>
    <mergeCell ref="X305:X307"/>
    <mergeCell ref="B306:C306"/>
    <mergeCell ref="A235:T235"/>
    <mergeCell ref="B237:C237"/>
    <mergeCell ref="A242:D242"/>
    <mergeCell ref="B300:C300"/>
    <mergeCell ref="D177:F177"/>
    <mergeCell ref="F178:H178"/>
    <mergeCell ref="A210:T210"/>
    <mergeCell ref="L244:M244"/>
    <mergeCell ref="L245:M245"/>
    <mergeCell ref="B186:C186"/>
    <mergeCell ref="A189:D189"/>
    <mergeCell ref="A191:T191"/>
    <mergeCell ref="A224:T224"/>
    <mergeCell ref="A213:A214"/>
    <mergeCell ref="X115:X117"/>
    <mergeCell ref="B115:C115"/>
    <mergeCell ref="A109:A110"/>
    <mergeCell ref="B109:C110"/>
    <mergeCell ref="D109:D110"/>
    <mergeCell ref="B185:C185"/>
    <mergeCell ref="A181:T181"/>
    <mergeCell ref="V115:V117"/>
    <mergeCell ref="W115:W117"/>
    <mergeCell ref="B152:C152"/>
    <mergeCell ref="N3:Q3"/>
    <mergeCell ref="N38:Q38"/>
    <mergeCell ref="N73:Q73"/>
    <mergeCell ref="N107:Q107"/>
    <mergeCell ref="N142:Q142"/>
    <mergeCell ref="A175:T175"/>
    <mergeCell ref="B13:C13"/>
    <mergeCell ref="B21:C21"/>
    <mergeCell ref="A32:D32"/>
    <mergeCell ref="B19:C19"/>
    <mergeCell ref="B321:C321"/>
    <mergeCell ref="B99:C99"/>
    <mergeCell ref="B63:C63"/>
    <mergeCell ref="B150:C150"/>
    <mergeCell ref="B202:C202"/>
    <mergeCell ref="N280:Q280"/>
    <mergeCell ref="G313:I313"/>
    <mergeCell ref="B83:C83"/>
    <mergeCell ref="O213:T213"/>
    <mergeCell ref="A216:T216"/>
    <mergeCell ref="A309:D309"/>
    <mergeCell ref="A308:D308"/>
    <mergeCell ref="B301:C301"/>
    <mergeCell ref="D281:F281"/>
    <mergeCell ref="B262:C262"/>
    <mergeCell ref="B261:C261"/>
    <mergeCell ref="A304:T304"/>
    <mergeCell ref="A279:T279"/>
    <mergeCell ref="B299:C299"/>
    <mergeCell ref="A269:T269"/>
    <mergeCell ref="A318:T318"/>
    <mergeCell ref="N313:Q313"/>
    <mergeCell ref="G176:I176"/>
    <mergeCell ref="B93:C93"/>
    <mergeCell ref="B295:C295"/>
    <mergeCell ref="B219:C219"/>
    <mergeCell ref="B217:C217"/>
    <mergeCell ref="A105:D105"/>
    <mergeCell ref="A273:D273"/>
    <mergeCell ref="B248:C248"/>
    <mergeCell ref="I315:I316"/>
    <mergeCell ref="B317:C317"/>
    <mergeCell ref="A311:D311"/>
    <mergeCell ref="A315:A316"/>
    <mergeCell ref="J315:N315"/>
    <mergeCell ref="N314:T314"/>
    <mergeCell ref="L313:M313"/>
    <mergeCell ref="B329:C329"/>
    <mergeCell ref="B315:C316"/>
    <mergeCell ref="D315:D316"/>
    <mergeCell ref="O315:T315"/>
    <mergeCell ref="L314:M314"/>
    <mergeCell ref="B319:C319"/>
    <mergeCell ref="B320:C320"/>
    <mergeCell ref="B328:C328"/>
    <mergeCell ref="F315:H315"/>
    <mergeCell ref="A326:D326"/>
    <mergeCell ref="B332:C332"/>
    <mergeCell ref="B330:C330"/>
    <mergeCell ref="B339:C339"/>
    <mergeCell ref="B340:C340"/>
    <mergeCell ref="A337:D337"/>
    <mergeCell ref="B331:C331"/>
    <mergeCell ref="B334:C334"/>
    <mergeCell ref="B324:C324"/>
    <mergeCell ref="M346:T346"/>
    <mergeCell ref="B333:C333"/>
    <mergeCell ref="B322:C322"/>
    <mergeCell ref="A327:T327"/>
    <mergeCell ref="B323:C323"/>
    <mergeCell ref="A345:D345"/>
    <mergeCell ref="A344:D344"/>
    <mergeCell ref="B335:C335"/>
    <mergeCell ref="A338:T338"/>
    <mergeCell ref="A303:D303"/>
    <mergeCell ref="B297:C297"/>
    <mergeCell ref="B298:C298"/>
    <mergeCell ref="B288:C288"/>
    <mergeCell ref="A293:D293"/>
    <mergeCell ref="B305:C305"/>
    <mergeCell ref="F282:H282"/>
    <mergeCell ref="A258:T258"/>
    <mergeCell ref="G280:I280"/>
    <mergeCell ref="L280:M280"/>
    <mergeCell ref="B260:C260"/>
    <mergeCell ref="A275:D275"/>
    <mergeCell ref="D282:D283"/>
    <mergeCell ref="B263:C263"/>
    <mergeCell ref="M277:T277"/>
    <mergeCell ref="A276:D276"/>
    <mergeCell ref="A257:D257"/>
    <mergeCell ref="G244:I244"/>
    <mergeCell ref="B250:C250"/>
    <mergeCell ref="B290:C290"/>
    <mergeCell ref="B259:C259"/>
    <mergeCell ref="B265:C265"/>
    <mergeCell ref="A282:A283"/>
    <mergeCell ref="B282:C283"/>
    <mergeCell ref="A268:D268"/>
    <mergeCell ref="A249:T249"/>
    <mergeCell ref="B255:C255"/>
    <mergeCell ref="B251:C251"/>
    <mergeCell ref="A246:A247"/>
    <mergeCell ref="B246:C247"/>
    <mergeCell ref="A241:D241"/>
    <mergeCell ref="B253:C253"/>
    <mergeCell ref="B252:C252"/>
    <mergeCell ref="N245:T245"/>
    <mergeCell ref="B215:C215"/>
    <mergeCell ref="F213:H213"/>
    <mergeCell ref="B218:C218"/>
    <mergeCell ref="I246:I247"/>
    <mergeCell ref="F246:H246"/>
    <mergeCell ref="B213:C214"/>
    <mergeCell ref="B220:C220"/>
    <mergeCell ref="B194:C194"/>
    <mergeCell ref="I213:I214"/>
    <mergeCell ref="J213:N213"/>
    <mergeCell ref="G211:I211"/>
    <mergeCell ref="L211:M211"/>
    <mergeCell ref="D212:F212"/>
    <mergeCell ref="L212:M212"/>
    <mergeCell ref="N211:Q211"/>
    <mergeCell ref="A205:D205"/>
    <mergeCell ref="N212:T212"/>
    <mergeCell ref="N176:Q176"/>
    <mergeCell ref="M209:T209"/>
    <mergeCell ref="B197:C197"/>
    <mergeCell ref="A201:T201"/>
    <mergeCell ref="A207:D207"/>
    <mergeCell ref="A208:D208"/>
    <mergeCell ref="B192:C192"/>
    <mergeCell ref="B193:C193"/>
    <mergeCell ref="B195:C195"/>
    <mergeCell ref="B182:C182"/>
    <mergeCell ref="A170:D170"/>
    <mergeCell ref="L176:M176"/>
    <mergeCell ref="L177:M177"/>
    <mergeCell ref="N177:T177"/>
    <mergeCell ref="A178:A179"/>
    <mergeCell ref="B178:C179"/>
    <mergeCell ref="D178:D179"/>
    <mergeCell ref="I178:I179"/>
    <mergeCell ref="O178:T178"/>
    <mergeCell ref="J178:N178"/>
    <mergeCell ref="B187:C187"/>
    <mergeCell ref="B221:C221"/>
    <mergeCell ref="A166:T166"/>
    <mergeCell ref="B167:C167"/>
    <mergeCell ref="B162:C162"/>
    <mergeCell ref="B168:C168"/>
    <mergeCell ref="M174:T174"/>
    <mergeCell ref="A165:D165"/>
    <mergeCell ref="A172:D172"/>
    <mergeCell ref="A173:D173"/>
    <mergeCell ref="B161:C161"/>
    <mergeCell ref="B158:C158"/>
    <mergeCell ref="B151:C151"/>
    <mergeCell ref="B163:C163"/>
    <mergeCell ref="A156:T156"/>
    <mergeCell ref="B157:C157"/>
    <mergeCell ref="B153:C153"/>
    <mergeCell ref="D108:F108"/>
    <mergeCell ref="L108:M108"/>
    <mergeCell ref="N108:T108"/>
    <mergeCell ref="B111:C111"/>
    <mergeCell ref="A112:T112"/>
    <mergeCell ref="I109:I110"/>
    <mergeCell ref="O109:T109"/>
    <mergeCell ref="J109:N109"/>
    <mergeCell ref="B144:C145"/>
    <mergeCell ref="F109:H109"/>
    <mergeCell ref="A87:T87"/>
    <mergeCell ref="B95:C95"/>
    <mergeCell ref="B79:C79"/>
    <mergeCell ref="A98:T98"/>
    <mergeCell ref="B92:C92"/>
    <mergeCell ref="A106:T106"/>
    <mergeCell ref="G107:I107"/>
    <mergeCell ref="B125:C125"/>
    <mergeCell ref="B149:C149"/>
    <mergeCell ref="D144:D145"/>
    <mergeCell ref="A147:T147"/>
    <mergeCell ref="B148:C148"/>
    <mergeCell ref="M36:T36"/>
    <mergeCell ref="N39:T39"/>
    <mergeCell ref="B90:C90"/>
    <mergeCell ref="B94:C94"/>
    <mergeCell ref="B77:C77"/>
    <mergeCell ref="B100:C100"/>
    <mergeCell ref="F75:H75"/>
    <mergeCell ref="I75:I76"/>
    <mergeCell ref="B75:C76"/>
    <mergeCell ref="J75:N75"/>
    <mergeCell ref="D75:D76"/>
    <mergeCell ref="A78:T78"/>
    <mergeCell ref="B9:C9"/>
    <mergeCell ref="B11:C11"/>
    <mergeCell ref="A35:D35"/>
    <mergeCell ref="B20:C20"/>
    <mergeCell ref="B29:C29"/>
    <mergeCell ref="B30:C30"/>
    <mergeCell ref="B17:C17"/>
    <mergeCell ref="B22:C22"/>
    <mergeCell ref="A28:T28"/>
    <mergeCell ref="B24:C24"/>
    <mergeCell ref="L39:M39"/>
    <mergeCell ref="G38:I38"/>
    <mergeCell ref="D74:F74"/>
    <mergeCell ref="L74:M74"/>
    <mergeCell ref="B40:C41"/>
    <mergeCell ref="D40:D41"/>
    <mergeCell ref="G73:I73"/>
    <mergeCell ref="L73:M73"/>
    <mergeCell ref="L38:M38"/>
    <mergeCell ref="J40:N40"/>
    <mergeCell ref="B7:C7"/>
    <mergeCell ref="A5:A6"/>
    <mergeCell ref="D5:D6"/>
    <mergeCell ref="B89:C89"/>
    <mergeCell ref="N74:T74"/>
    <mergeCell ref="A75:A76"/>
    <mergeCell ref="O75:T75"/>
    <mergeCell ref="D39:F39"/>
    <mergeCell ref="A34:D34"/>
    <mergeCell ref="O40:T40"/>
    <mergeCell ref="B53:C53"/>
    <mergeCell ref="B46:C46"/>
    <mergeCell ref="F40:H40"/>
    <mergeCell ref="A43:T43"/>
    <mergeCell ref="I40:I41"/>
    <mergeCell ref="N4:T4"/>
    <mergeCell ref="O5:T5"/>
    <mergeCell ref="A8:T8"/>
    <mergeCell ref="F5:H5"/>
    <mergeCell ref="I5:I6"/>
    <mergeCell ref="B14:C14"/>
    <mergeCell ref="B48:C48"/>
    <mergeCell ref="B12:C12"/>
    <mergeCell ref="A16:D16"/>
    <mergeCell ref="B10:C10"/>
    <mergeCell ref="A27:D27"/>
    <mergeCell ref="B45:C45"/>
    <mergeCell ref="A18:T18"/>
    <mergeCell ref="B23:C23"/>
    <mergeCell ref="B25:C25"/>
    <mergeCell ref="A69:D69"/>
    <mergeCell ref="A51:T51"/>
    <mergeCell ref="B47:C47"/>
    <mergeCell ref="A50:D50"/>
    <mergeCell ref="B44:C44"/>
    <mergeCell ref="A66:D66"/>
    <mergeCell ref="B54:C54"/>
    <mergeCell ref="B56:C56"/>
    <mergeCell ref="B55:C55"/>
    <mergeCell ref="A62:T62"/>
    <mergeCell ref="M70:T70"/>
    <mergeCell ref="A72:T72"/>
    <mergeCell ref="A61:D61"/>
    <mergeCell ref="B58:C58"/>
    <mergeCell ref="A68:D68"/>
    <mergeCell ref="B64:C64"/>
    <mergeCell ref="B59:C59"/>
    <mergeCell ref="B127:C127"/>
    <mergeCell ref="B132:C132"/>
    <mergeCell ref="B133:C133"/>
    <mergeCell ref="A144:A145"/>
    <mergeCell ref="A102:D102"/>
    <mergeCell ref="A104:D104"/>
    <mergeCell ref="A120:D120"/>
    <mergeCell ref="A130:D130"/>
    <mergeCell ref="B117:C117"/>
    <mergeCell ref="B118:C118"/>
    <mergeCell ref="M139:T139"/>
    <mergeCell ref="L142:M142"/>
    <mergeCell ref="B146:C146"/>
    <mergeCell ref="N143:T143"/>
    <mergeCell ref="O144:T144"/>
    <mergeCell ref="D143:F143"/>
    <mergeCell ref="L143:M143"/>
    <mergeCell ref="I144:I145"/>
    <mergeCell ref="F144:H144"/>
    <mergeCell ref="J144:N144"/>
    <mergeCell ref="V1:V4"/>
    <mergeCell ref="A97:D97"/>
    <mergeCell ref="B116:C116"/>
    <mergeCell ref="B122:C122"/>
    <mergeCell ref="B42:C42"/>
    <mergeCell ref="A141:T141"/>
    <mergeCell ref="B126:C126"/>
    <mergeCell ref="A137:D137"/>
    <mergeCell ref="A138:D138"/>
    <mergeCell ref="B114:C114"/>
    <mergeCell ref="B286:C286"/>
    <mergeCell ref="B284:C284"/>
    <mergeCell ref="I282:I283"/>
    <mergeCell ref="A285:T285"/>
    <mergeCell ref="O282:T282"/>
    <mergeCell ref="A312:T312"/>
    <mergeCell ref="A294:T294"/>
    <mergeCell ref="B287:C287"/>
    <mergeCell ref="B291:C291"/>
    <mergeCell ref="A310:D310"/>
    <mergeCell ref="U1:U4"/>
    <mergeCell ref="L3:M3"/>
    <mergeCell ref="D4:F4"/>
    <mergeCell ref="L4:M4"/>
    <mergeCell ref="D314:F314"/>
    <mergeCell ref="J282:N282"/>
    <mergeCell ref="N281:T281"/>
    <mergeCell ref="L281:M281"/>
    <mergeCell ref="G142:I142"/>
    <mergeCell ref="A155:D155"/>
    <mergeCell ref="A200:D200"/>
    <mergeCell ref="X1:X4"/>
    <mergeCell ref="J5:N5"/>
    <mergeCell ref="M1:T1"/>
    <mergeCell ref="A2:T2"/>
    <mergeCell ref="G3:I3"/>
    <mergeCell ref="B5:C6"/>
    <mergeCell ref="A121:T121"/>
    <mergeCell ref="A37:T37"/>
    <mergeCell ref="A40:A41"/>
    <mergeCell ref="B52:C52"/>
    <mergeCell ref="B113:C113"/>
    <mergeCell ref="B57:C57"/>
    <mergeCell ref="B80:C80"/>
    <mergeCell ref="L107:M107"/>
    <mergeCell ref="B91:C91"/>
    <mergeCell ref="B84:C84"/>
    <mergeCell ref="A86:D86"/>
    <mergeCell ref="B81:C81"/>
    <mergeCell ref="B82:C82"/>
    <mergeCell ref="B271:C271"/>
    <mergeCell ref="B266:C266"/>
    <mergeCell ref="D213:D214"/>
    <mergeCell ref="B227:C227"/>
    <mergeCell ref="B228:C228"/>
    <mergeCell ref="A223:D223"/>
    <mergeCell ref="B270:C270"/>
    <mergeCell ref="B229:C229"/>
    <mergeCell ref="B226:C226"/>
    <mergeCell ref="B225:C225"/>
    <mergeCell ref="J246:N246"/>
    <mergeCell ref="D245:F245"/>
    <mergeCell ref="B236:C236"/>
    <mergeCell ref="B232:C232"/>
    <mergeCell ref="B254:C254"/>
    <mergeCell ref="B264:C264"/>
    <mergeCell ref="A243:T243"/>
    <mergeCell ref="N244:Q244"/>
    <mergeCell ref="O246:T246"/>
    <mergeCell ref="D246:D247"/>
    <mergeCell ref="A349:T349"/>
    <mergeCell ref="B124:C124"/>
    <mergeCell ref="B289:C289"/>
    <mergeCell ref="B230:C230"/>
    <mergeCell ref="B231:C231"/>
    <mergeCell ref="A234:D234"/>
    <mergeCell ref="A239:D239"/>
    <mergeCell ref="B184:C184"/>
    <mergeCell ref="B160:C160"/>
    <mergeCell ref="B180:C180"/>
    <mergeCell ref="B88:C88"/>
    <mergeCell ref="B198:C198"/>
    <mergeCell ref="B159:C159"/>
    <mergeCell ref="B196:C196"/>
    <mergeCell ref="B203:C203"/>
    <mergeCell ref="B128:C128"/>
    <mergeCell ref="A135:D135"/>
    <mergeCell ref="B123:C123"/>
    <mergeCell ref="A131:T131"/>
    <mergeCell ref="B183:C183"/>
  </mergeCells>
  <printOptions/>
  <pageMargins left="0.7" right="0.7" top="0.75" bottom="0.75" header="0.3" footer="0.3"/>
  <pageSetup horizontalDpi="600" verticalDpi="600" orientation="landscape" paperSize="9" scale="79" r:id="rId1"/>
  <rowBreaks count="10" manualBreakCount="10">
    <brk id="35" max="19" man="1"/>
    <brk id="69" max="19" man="1"/>
    <brk id="105" max="19" man="1"/>
    <brk id="138" max="255" man="1"/>
    <brk id="173" max="19" man="1"/>
    <brk id="208" max="19" man="1"/>
    <brk id="242" max="19" man="1"/>
    <brk id="276" max="19" man="1"/>
    <brk id="311" max="19" man="1"/>
    <brk id="34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zav_karam_nijn</dc:creator>
  <cp:keywords/>
  <dc:description/>
  <cp:lastModifiedBy>А.А. Красюкова</cp:lastModifiedBy>
  <cp:lastPrinted>2023-09-20T13:13:31Z</cp:lastPrinted>
  <dcterms:created xsi:type="dcterms:W3CDTF">2017-06-07T09:01:22Z</dcterms:created>
  <dcterms:modified xsi:type="dcterms:W3CDTF">2023-10-18T06:41:00Z</dcterms:modified>
  <cp:category/>
  <cp:version/>
  <cp:contentType/>
  <cp:contentStatus/>
  <cp:revision>1</cp:revision>
</cp:coreProperties>
</file>